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1"/>
  </bookViews>
  <sheets>
    <sheet name="КЕКВ" sheetId="1" r:id="rId1"/>
    <sheet name="КТКВ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<sst xmlns="http://schemas.openxmlformats.org/spreadsheetml/2006/main" count="71" uniqueCount="67">
  <si>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Освіта</t>
  </si>
  <si>
    <t>Культура і мистецтво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</si>
  <si>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</si>
  <si>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</si>
  <si>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</si>
  <si>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</si>
  <si>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</si>
  <si>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</si>
  <si>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</si>
  <si>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</si>
  <si>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</si>
  <si>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</si>
  <si>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</si>
  <si>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Обслуговування зовнішніх боргових зобов"язань</t>
  </si>
  <si>
    <t>Оплата послуг (крім комунальних)</t>
  </si>
  <si>
    <t>Код економічної класифікації видатків</t>
  </si>
  <si>
    <t>Відсоток виконання, %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</si>
  <si>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</si>
  <si>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</si>
  <si>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</si>
  <si>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</si>
  <si>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</si>
  <si>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</si>
  <si>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</si>
  <si>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</si>
  <si>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</si>
  <si>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</si>
  <si>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</si>
  <si>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</si>
  <si>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</si>
  <si>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</si>
  <si>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Порівняльний аналіз виконання видаткової частини міського бюжету м. Павлоград</t>
  </si>
  <si>
    <t>за економічною класифікацією видатків</t>
  </si>
  <si>
    <t xml:space="preserve">Всього </t>
  </si>
  <si>
    <t>Виплата пенсій і допомоги</t>
  </si>
  <si>
    <t>Соціальне забезпечення</t>
  </si>
  <si>
    <t>за тимчасовою програмною класифікацією видатків та кредитування місцевих бюджетів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</si>
  <si>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</si>
  <si>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</si>
  <si>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</si>
  <si>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КТКВКМБ</t>
  </si>
  <si>
    <t>Назва коду ТПКВКМБ</t>
  </si>
  <si>
    <t>Державне управління</t>
  </si>
  <si>
    <t>0100</t>
  </si>
  <si>
    <t>загальний фонд</t>
  </si>
  <si>
    <t>7400</t>
  </si>
  <si>
    <t>7600</t>
  </si>
  <si>
    <t>8400</t>
  </si>
  <si>
    <t>Засоби масової інформації</t>
  </si>
  <si>
    <t>8700</t>
  </si>
  <si>
    <t>Резервний фонд</t>
  </si>
  <si>
    <t>7100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</si>
  <si>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</si>
  <si>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</si>
  <si>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</si>
  <si>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</si>
  <si>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Громадський порядок та безпека</t>
  </si>
  <si>
    <t>Відхилення видатків за  І квартал 2020 року  до видатків за  І квартал 2019 року</t>
  </si>
  <si>
    <t>за І півріччя 2019-2020 років</t>
  </si>
  <si>
    <t>Виконано за  І півріччя 2019 року</t>
  </si>
  <si>
    <t>Уточнений план на  І півріччя 2020 року</t>
  </si>
  <si>
    <t>Виконано за  І півріччя  2020 року</t>
  </si>
  <si>
    <t>Відхилення видатків за  І півріччя 2020 року  до видатків за  І півріччя 2019 року</t>
  </si>
  <si>
    <t>за І півріччя  2019-2020 років</t>
  </si>
  <si>
    <t>Виконано за  І півріччя  2019 року</t>
  </si>
  <si>
    <t>Виконано за  І півріччя 2020 року</t>
  </si>
  <si>
    <t>Сільське господарство та мисливство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</si>
</sst>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0"/>
    <numFmt numFmtId="192" formatCode="0.00000"/>
    <numFmt numFmtId="193" formatCode="_-* #,##0.0\ _г_р_н_._-;\-* #,##0.0\ _г_р_н_._-;_-* &quot;-&quot;??\ _г_р_н_._-;_-@_-"/>
    <numFmt numFmtId="194" formatCode="_-* #,##0.0\ _г_р_н_._-;\-* #,##0.0\ _г_р_н_._-;_-* &quot;-&quot;?\ _г_р_н_._-;_-@_-"/>
    <numFmt numFmtId="195" formatCode="0.00000000"/>
    <numFmt numFmtId="196" formatCode="0.0000000"/>
    <numFmt numFmtId="197" formatCode="#0.00"/>
  </numFmts>
  <fonts count="47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188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88" fontId="9" fillId="0" borderId="0" xfId="0" applyNumberFormat="1" applyFont="1" applyAlignment="1">
      <alignment/>
    </xf>
    <xf numFmtId="192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8" fontId="2" fillId="0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188" fontId="10" fillId="0" borderId="10" xfId="53" applyNumberFormat="1" applyFont="1" applyBorder="1" applyAlignment="1">
      <alignment horizontal="center" vertical="center" wrapText="1"/>
      <protection/>
    </xf>
    <xf numFmtId="188" fontId="10" fillId="0" borderId="10" xfId="54" applyNumberFormat="1" applyFont="1" applyBorder="1" applyAlignment="1">
      <alignment horizontal="center" vertical="center" wrapText="1"/>
      <protection/>
    </xf>
    <xf numFmtId="188" fontId="8" fillId="0" borderId="10" xfId="0" applyNumberFormat="1" applyFont="1" applyBorder="1" applyAlignment="1">
      <alignment horizontal="center" vertical="center" wrapText="1"/>
    </xf>
    <xf numFmtId="188" fontId="10" fillId="0" borderId="10" xfId="55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vertical="center" wrapText="1"/>
      <protection/>
    </xf>
    <xf numFmtId="188" fontId="7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zoomScale="85" zoomScaleNormal="85" zoomScalePageLayoutView="0" workbookViewId="0" topLeftCell="B11">
      <selection activeCell="D12" sqref="D12"/>
    </sheetView>
  </sheetViews>
  <sheetFormatPr defaultColWidth="9.00390625" defaultRowHeight="12.75"/>
  <cols>
    <col min="1" max="1" width="9.125" style="0" hidden="1" customWidth="1"/>
    <col min="2" max="2" width="14.75390625" style="0" customWidth="1"/>
    <col min="3" max="3" width="52.875" style="0" customWidth="1"/>
    <col min="4" max="4" width="16.25390625" style="22" customWidth="1"/>
    <col min="5" max="5" width="16.875" style="0" customWidth="1"/>
    <col min="6" max="6" width="16.25390625" style="0" customWidth="1"/>
    <col min="7" max="7" width="13.875" style="0" customWidth="1"/>
    <col min="8" max="8" width="25.625" style="0" customWidth="1"/>
    <col min="12" max="13" width="13.125" style="0" bestFit="1" customWidth="1"/>
  </cols>
  <sheetData>
    <row r="1" spans="2:8" ht="20.25">
      <c r="B1" s="5"/>
      <c r="C1" s="5"/>
      <c r="D1" s="21"/>
      <c r="E1" s="5"/>
      <c r="F1" s="5"/>
      <c r="G1" s="5"/>
      <c r="H1" s="28">
        <v>3</v>
      </c>
    </row>
    <row r="2" spans="2:8" ht="18.75">
      <c r="B2" s="57" t="s">
        <v>31</v>
      </c>
      <c r="C2" s="57"/>
      <c r="D2" s="57"/>
      <c r="E2" s="57"/>
      <c r="F2" s="57"/>
      <c r="G2" s="57"/>
      <c r="H2" s="57"/>
    </row>
    <row r="3" spans="2:8" ht="18.75">
      <c r="B3" s="57" t="s">
        <v>32</v>
      </c>
      <c r="C3" s="57"/>
      <c r="D3" s="57"/>
      <c r="E3" s="57"/>
      <c r="F3" s="57"/>
      <c r="G3" s="57"/>
      <c r="H3" s="57"/>
    </row>
    <row r="4" spans="2:8" ht="18.75">
      <c r="B4" s="57" t="s">
        <v>58</v>
      </c>
      <c r="C4" s="57"/>
      <c r="D4" s="57"/>
      <c r="E4" s="57"/>
      <c r="F4" s="57"/>
      <c r="G4" s="57"/>
      <c r="H4" s="57"/>
    </row>
    <row r="5" spans="2:8" ht="18.75">
      <c r="B5" s="57" t="s">
        <v>44</v>
      </c>
      <c r="C5" s="57"/>
      <c r="D5" s="57"/>
      <c r="E5" s="57"/>
      <c r="F5" s="57"/>
      <c r="G5" s="57"/>
      <c r="H5" s="57"/>
    </row>
    <row r="6" spans="2:8" ht="18.75">
      <c r="B6" s="5"/>
      <c r="C6" s="5"/>
      <c r="D6" s="21"/>
      <c r="E6" s="5"/>
      <c r="F6" s="5"/>
      <c r="G6" s="5"/>
      <c r="H6" s="18" t="s">
        <v>10</v>
      </c>
    </row>
    <row r="7" spans="2:8" s="4" customFormat="1" ht="84" customHeight="1">
      <c r="B7" s="9" t="s">
        <v>15</v>
      </c>
      <c r="C7" s="13" t="s">
        <v>30</v>
      </c>
      <c r="D7" s="19" t="s">
        <v>59</v>
      </c>
      <c r="E7" s="19" t="s">
        <v>60</v>
      </c>
      <c r="F7" s="9" t="s">
        <v>61</v>
      </c>
      <c r="G7" s="9" t="s">
        <v>16</v>
      </c>
      <c r="H7" s="9" t="s">
        <v>62</v>
      </c>
    </row>
    <row r="8" spans="2:8" ht="20.25">
      <c r="B8" s="11">
        <v>2111</v>
      </c>
      <c r="C8" s="10" t="s">
        <v>2</v>
      </c>
      <c r="D8" s="41">
        <f>152100.72582+45995.19567</f>
        <v>198095.92148999998</v>
      </c>
      <c r="E8" s="12">
        <f>183714.73793+36152.899</f>
        <v>219867.63693</v>
      </c>
      <c r="F8" s="12">
        <f>171237.69475+31503.6602</f>
        <v>202741.35495</v>
      </c>
      <c r="G8" s="12">
        <f aca="true" t="shared" si="0" ref="G8:G28">F8/E8*100</f>
        <v>92.21063990174572</v>
      </c>
      <c r="H8" s="12">
        <f>F8-D8</f>
        <v>4645.433460000029</v>
      </c>
    </row>
    <row r="9" spans="2:8" ht="20.25">
      <c r="B9" s="11">
        <v>2120</v>
      </c>
      <c r="C9" s="10" t="s">
        <v>17</v>
      </c>
      <c r="D9" s="41">
        <f>33591.07231+10086.38008</f>
        <v>43677.452390000006</v>
      </c>
      <c r="E9" s="12">
        <f>40664.02249+7852.674</f>
        <v>48516.69649</v>
      </c>
      <c r="F9" s="12">
        <f>38472.0855+6823.52272</f>
        <v>45295.60822</v>
      </c>
      <c r="G9" s="12">
        <f t="shared" si="0"/>
        <v>93.36086645828429</v>
      </c>
      <c r="H9" s="12">
        <f aca="true" t="shared" si="1" ref="H9:H32">F9-D9</f>
        <v>1618.155829999996</v>
      </c>
    </row>
    <row r="10" spans="2:8" ht="20.25">
      <c r="B10" s="11">
        <v>2200</v>
      </c>
      <c r="C10" s="10" t="s">
        <v>18</v>
      </c>
      <c r="D10" s="20">
        <f>D11+D12+D13+D14+D15+D16+D22</f>
        <v>55139.81239000001</v>
      </c>
      <c r="E10" s="20">
        <f>E11+E12+E13+E14+E15+E16+E22</f>
        <v>58260.5802</v>
      </c>
      <c r="F10" s="20">
        <f>F11+F12+F13+F14+F15+F16+F22</f>
        <v>45518.55508</v>
      </c>
      <c r="G10" s="12">
        <f t="shared" si="0"/>
        <v>78.12925124284979</v>
      </c>
      <c r="H10" s="12">
        <f t="shared" si="1"/>
        <v>-9621.257310000008</v>
      </c>
    </row>
    <row r="11" spans="2:13" ht="40.5">
      <c r="B11" s="16">
        <v>2210</v>
      </c>
      <c r="C11" s="17" t="s">
        <v>3</v>
      </c>
      <c r="D11" s="31">
        <f>2670.7312+783.95959</f>
        <v>3454.69079</v>
      </c>
      <c r="E11" s="42">
        <f>5564.47865+1657.14441</f>
        <v>7221.62306</v>
      </c>
      <c r="F11" s="14">
        <f>3700.61743+1325.63398</f>
        <v>5026.25141</v>
      </c>
      <c r="G11" s="14">
        <f t="shared" si="0"/>
        <v>69.60002437457598</v>
      </c>
      <c r="H11" s="12">
        <f t="shared" si="1"/>
        <v>1571.5606199999997</v>
      </c>
      <c r="L11" s="33"/>
      <c r="M11" s="33"/>
    </row>
    <row r="12" spans="2:13" ht="40.5">
      <c r="B12" s="16">
        <v>2220</v>
      </c>
      <c r="C12" s="17" t="s">
        <v>19</v>
      </c>
      <c r="D12" s="31">
        <f>140.32452+4500.32697</f>
        <v>4640.65149</v>
      </c>
      <c r="E12" s="42">
        <f>412.248+8058.15553</f>
        <v>8470.40353</v>
      </c>
      <c r="F12" s="14">
        <f>360.04761+7270.13631</f>
        <v>7630.1839199999995</v>
      </c>
      <c r="G12" s="14">
        <f t="shared" si="0"/>
        <v>90.08052441629071</v>
      </c>
      <c r="H12" s="12">
        <f t="shared" si="1"/>
        <v>2989.5324299999993</v>
      </c>
      <c r="M12" s="24"/>
    </row>
    <row r="13" spans="2:8" ht="20.25">
      <c r="B13" s="16">
        <v>2230</v>
      </c>
      <c r="C13" s="17" t="s">
        <v>4</v>
      </c>
      <c r="D13" s="31">
        <f>5024.22797+660.71224</f>
        <v>5684.94021</v>
      </c>
      <c r="E13" s="42">
        <f>3117.02917+658.63796</f>
        <v>3775.66713</v>
      </c>
      <c r="F13" s="14">
        <f>2302.39943+646.77158</f>
        <v>2949.17101</v>
      </c>
      <c r="G13" s="14">
        <f t="shared" si="0"/>
        <v>78.10993152884217</v>
      </c>
      <c r="H13" s="12">
        <f t="shared" si="1"/>
        <v>-2735.7691999999997</v>
      </c>
    </row>
    <row r="14" spans="2:8" ht="20.25">
      <c r="B14" s="16">
        <v>2240</v>
      </c>
      <c r="C14" s="17" t="s">
        <v>14</v>
      </c>
      <c r="D14" s="31">
        <f>15211.35382+468.36841</f>
        <v>15679.72223</v>
      </c>
      <c r="E14" s="42">
        <f>12028.6153+2051.627</f>
        <v>14080.2423</v>
      </c>
      <c r="F14" s="14">
        <f>8361.59872+1771.494</f>
        <v>10133.09272</v>
      </c>
      <c r="G14" s="14">
        <f t="shared" si="0"/>
        <v>71.96674960629052</v>
      </c>
      <c r="H14" s="12">
        <f t="shared" si="1"/>
        <v>-5546.629509999999</v>
      </c>
    </row>
    <row r="15" spans="2:9" s="8" customFormat="1" ht="22.5" customHeight="1">
      <c r="B15" s="16">
        <v>2250</v>
      </c>
      <c r="C15" s="17" t="s">
        <v>12</v>
      </c>
      <c r="D15" s="31">
        <f>312.67234+14.57099</f>
        <v>327.24333</v>
      </c>
      <c r="E15" s="42">
        <f>475.162+13.128</f>
        <v>488.28999999999996</v>
      </c>
      <c r="F15" s="14">
        <f>176.07984+4.43876</f>
        <v>180.5186</v>
      </c>
      <c r="G15" s="14">
        <f t="shared" si="0"/>
        <v>36.969546785721604</v>
      </c>
      <c r="H15" s="12">
        <f t="shared" si="1"/>
        <v>-146.72473000000002</v>
      </c>
      <c r="I15"/>
    </row>
    <row r="16" spans="2:8" ht="40.5">
      <c r="B16" s="11">
        <v>2270</v>
      </c>
      <c r="C16" s="10" t="s">
        <v>20</v>
      </c>
      <c r="D16" s="12">
        <f>D17+D18+D19+D20+D21</f>
        <v>25199.2579</v>
      </c>
      <c r="E16" s="12">
        <f>E17+E18+E19+E20+E21</f>
        <v>23831.68018</v>
      </c>
      <c r="F16" s="12">
        <f>F17+F18+F19+F20+F21</f>
        <v>19505.35842</v>
      </c>
      <c r="G16" s="12">
        <f t="shared" si="0"/>
        <v>81.84634181340378</v>
      </c>
      <c r="H16" s="12">
        <f t="shared" si="1"/>
        <v>-5693.89948</v>
      </c>
    </row>
    <row r="17" spans="2:8" ht="20.25">
      <c r="B17" s="16">
        <v>2271</v>
      </c>
      <c r="C17" s="17" t="s">
        <v>5</v>
      </c>
      <c r="D17" s="31">
        <f>11585.98747+3156.26899</f>
        <v>14742.25646</v>
      </c>
      <c r="E17" s="43">
        <f>9735.476+2239.879</f>
        <v>11975.355</v>
      </c>
      <c r="F17" s="14">
        <f>9493.36698+1747.93995</f>
        <v>11241.30693</v>
      </c>
      <c r="G17" s="14">
        <f t="shared" si="0"/>
        <v>93.87034396892619</v>
      </c>
      <c r="H17" s="12">
        <f t="shared" si="1"/>
        <v>-3500.94953</v>
      </c>
    </row>
    <row r="18" spans="2:8" ht="40.5">
      <c r="B18" s="16">
        <v>2272</v>
      </c>
      <c r="C18" s="17" t="s">
        <v>21</v>
      </c>
      <c r="D18" s="31">
        <f>842.13691+613.34717</f>
        <v>1455.48408</v>
      </c>
      <c r="E18" s="43">
        <f>864.83818+819.188</f>
        <v>1684.0261799999998</v>
      </c>
      <c r="F18" s="14">
        <f>614.29322+631.12603</f>
        <v>1245.41925</v>
      </c>
      <c r="G18" s="14">
        <f t="shared" si="0"/>
        <v>73.95486274447349</v>
      </c>
      <c r="H18" s="12">
        <f t="shared" si="1"/>
        <v>-210.06483000000003</v>
      </c>
    </row>
    <row r="19" spans="2:8" ht="20.25">
      <c r="B19" s="16">
        <v>2273</v>
      </c>
      <c r="C19" s="17" t="s">
        <v>6</v>
      </c>
      <c r="D19" s="31">
        <f>3245.10562+2263.91863</f>
        <v>5509.02425</v>
      </c>
      <c r="E19" s="43">
        <f>4460.62+2811.803</f>
        <v>7272.423</v>
      </c>
      <c r="F19" s="14">
        <f>2571.5436+2105.27814</f>
        <v>4676.821739999999</v>
      </c>
      <c r="G19" s="14">
        <f t="shared" si="0"/>
        <v>64.30898945234621</v>
      </c>
      <c r="H19" s="12">
        <f t="shared" si="1"/>
        <v>-832.202510000001</v>
      </c>
    </row>
    <row r="20" spans="2:8" ht="20.25">
      <c r="B20" s="16">
        <v>2274</v>
      </c>
      <c r="C20" s="17" t="s">
        <v>7</v>
      </c>
      <c r="D20" s="31">
        <f>1596.98899+1895.50412</f>
        <v>3492.4931100000003</v>
      </c>
      <c r="E20" s="43">
        <f>1237.936+1661.94</f>
        <v>2899.876</v>
      </c>
      <c r="F20" s="14">
        <f>916.23343+1425.57707</f>
        <v>2341.8105</v>
      </c>
      <c r="G20" s="14">
        <f t="shared" si="0"/>
        <v>80.7555392023659</v>
      </c>
      <c r="H20" s="12">
        <f t="shared" si="1"/>
        <v>-1150.6826100000003</v>
      </c>
    </row>
    <row r="21" spans="2:8" ht="20.25" hidden="1">
      <c r="B21" s="16">
        <v>2275</v>
      </c>
      <c r="C21" s="17" t="s">
        <v>22</v>
      </c>
      <c r="D21" s="31"/>
      <c r="E21" s="15"/>
      <c r="F21" s="31"/>
      <c r="G21" s="29"/>
      <c r="H21" s="30"/>
    </row>
    <row r="22" spans="2:8" ht="63" customHeight="1">
      <c r="B22" s="11">
        <v>2280</v>
      </c>
      <c r="C22" s="10" t="s">
        <v>23</v>
      </c>
      <c r="D22" s="31">
        <f>70167.58205+5.796-70020.07161</f>
        <v>153.3064400000003</v>
      </c>
      <c r="E22" s="14">
        <v>392.674</v>
      </c>
      <c r="F22" s="14">
        <v>93.979</v>
      </c>
      <c r="G22" s="12">
        <f t="shared" si="0"/>
        <v>23.933084441546935</v>
      </c>
      <c r="H22" s="12">
        <f t="shared" si="1"/>
        <v>-59.327440000000294</v>
      </c>
    </row>
    <row r="23" spans="2:8" ht="40.5" hidden="1">
      <c r="B23" s="11">
        <v>2420</v>
      </c>
      <c r="C23" s="10" t="s">
        <v>13</v>
      </c>
      <c r="D23" s="14"/>
      <c r="E23" s="14"/>
      <c r="F23" s="14"/>
      <c r="G23" s="29">
        <v>0</v>
      </c>
      <c r="H23" s="30">
        <f t="shared" si="1"/>
        <v>0</v>
      </c>
    </row>
    <row r="24" spans="2:8" ht="20.25">
      <c r="B24" s="11">
        <v>2600</v>
      </c>
      <c r="C24" s="10" t="s">
        <v>24</v>
      </c>
      <c r="D24" s="12">
        <f>D25+D26</f>
        <v>28250.25134</v>
      </c>
      <c r="E24" s="12">
        <f>E25+E26</f>
        <v>35923.142309999996</v>
      </c>
      <c r="F24" s="12">
        <f>F25+F26</f>
        <v>30225.090140000008</v>
      </c>
      <c r="G24" s="12">
        <f t="shared" si="0"/>
        <v>84.13821340898173</v>
      </c>
      <c r="H24" s="12">
        <f t="shared" si="1"/>
        <v>1974.8388000000086</v>
      </c>
    </row>
    <row r="25" spans="2:10" ht="60.75">
      <c r="B25" s="16">
        <v>2610</v>
      </c>
      <c r="C25" s="17" t="s">
        <v>25</v>
      </c>
      <c r="D25" s="15">
        <f>31785.50395-3535.25261</f>
        <v>28250.25134</v>
      </c>
      <c r="E25" s="44">
        <f>104695.32742-68772.18511</f>
        <v>35923.142309999996</v>
      </c>
      <c r="F25" s="14">
        <f>89123.93851-58898.84837</f>
        <v>30225.090140000008</v>
      </c>
      <c r="G25" s="14">
        <f t="shared" si="0"/>
        <v>84.13821340898173</v>
      </c>
      <c r="H25" s="12">
        <f t="shared" si="1"/>
        <v>1974.8388000000086</v>
      </c>
      <c r="J25" s="24"/>
    </row>
    <row r="26" spans="2:8" ht="49.5" customHeight="1" hidden="1">
      <c r="B26" s="16">
        <v>2620</v>
      </c>
      <c r="C26" s="17" t="s">
        <v>28</v>
      </c>
      <c r="D26" s="15"/>
      <c r="E26" s="15"/>
      <c r="F26" s="15"/>
      <c r="G26" s="29"/>
      <c r="H26" s="30"/>
    </row>
    <row r="27" spans="2:8" ht="25.5" customHeight="1">
      <c r="B27" s="11">
        <v>2700</v>
      </c>
      <c r="C27" s="10" t="s">
        <v>35</v>
      </c>
      <c r="D27" s="12">
        <f>D28+D29</f>
        <v>118340.53021</v>
      </c>
      <c r="E27" s="12">
        <f>E28+E29</f>
        <v>16458.13828</v>
      </c>
      <c r="F27" s="12">
        <f>F28+F29</f>
        <v>11979.6429</v>
      </c>
      <c r="G27" s="14">
        <f t="shared" si="0"/>
        <v>72.78856633837933</v>
      </c>
      <c r="H27" s="12">
        <f t="shared" si="1"/>
        <v>-106360.88730999999</v>
      </c>
    </row>
    <row r="28" spans="2:8" ht="21" customHeight="1">
      <c r="B28" s="16">
        <v>2710</v>
      </c>
      <c r="C28" s="17" t="s">
        <v>34</v>
      </c>
      <c r="D28" s="31">
        <v>391.71368</v>
      </c>
      <c r="E28" s="14">
        <v>509.205</v>
      </c>
      <c r="F28" s="14">
        <v>363.69638</v>
      </c>
      <c r="G28" s="14">
        <f t="shared" si="0"/>
        <v>71.42435364931609</v>
      </c>
      <c r="H28" s="12">
        <f t="shared" si="1"/>
        <v>-28.017300000000034</v>
      </c>
    </row>
    <row r="29" spans="2:8" ht="20.25">
      <c r="B29" s="16">
        <v>2730</v>
      </c>
      <c r="C29" s="17" t="s">
        <v>26</v>
      </c>
      <c r="D29" s="31">
        <f>115230.16668+3421.93727-703.28742</f>
        <v>117948.81653</v>
      </c>
      <c r="E29" s="45">
        <f>11671.41599+4277.51729</f>
        <v>15948.93328</v>
      </c>
      <c r="F29" s="14">
        <f>8342.00919+3273.93733</f>
        <v>11615.946520000001</v>
      </c>
      <c r="G29" s="14">
        <f>F29/E29*100</f>
        <v>72.83212184833971</v>
      </c>
      <c r="H29" s="14">
        <f t="shared" si="1"/>
        <v>-106332.87001</v>
      </c>
    </row>
    <row r="30" spans="2:8" ht="21" customHeight="1">
      <c r="B30" s="11">
        <v>2800</v>
      </c>
      <c r="C30" s="10" t="s">
        <v>27</v>
      </c>
      <c r="D30" s="31">
        <f>79.16709+0.61183</f>
        <v>79.77892</v>
      </c>
      <c r="E30" s="45">
        <f>349.659+8.38692</f>
        <v>358.04591999999997</v>
      </c>
      <c r="F30" s="14">
        <f>166.19897+5.63592</f>
        <v>171.83489</v>
      </c>
      <c r="G30" s="12">
        <f>F30/E30*100</f>
        <v>47.99241672688241</v>
      </c>
      <c r="H30" s="12">
        <f t="shared" si="1"/>
        <v>92.05597</v>
      </c>
    </row>
    <row r="31" spans="2:8" ht="20.25">
      <c r="B31" s="11">
        <v>9000</v>
      </c>
      <c r="C31" s="10" t="s">
        <v>8</v>
      </c>
      <c r="D31" s="11"/>
      <c r="E31" s="14">
        <v>1097.65</v>
      </c>
      <c r="F31" s="14"/>
      <c r="G31" s="30"/>
      <c r="H31" s="30"/>
    </row>
    <row r="32" spans="2:8" ht="19.5" customHeight="1">
      <c r="B32" s="11"/>
      <c r="C32" s="10" t="s">
        <v>9</v>
      </c>
      <c r="D32" s="20">
        <f>D8+D9+D10+D23+D24+D27+D30+D31</f>
        <v>443583.74674</v>
      </c>
      <c r="E32" s="20">
        <f>E8+E9+E10+E23+E24+E27+E30+E31</f>
        <v>380481.8901300001</v>
      </c>
      <c r="F32" s="20">
        <f>F8+F9+F10+F23+F24+F27+F30+F31</f>
        <v>335932.08618</v>
      </c>
      <c r="G32" s="12">
        <f>F32/E32*100</f>
        <v>88.29121566475118</v>
      </c>
      <c r="H32" s="12">
        <f t="shared" si="1"/>
        <v>-107651.66055999999</v>
      </c>
    </row>
    <row r="33" spans="2:8" ht="12.75">
      <c r="B33" s="1"/>
      <c r="C33" s="1"/>
      <c r="D33" s="23"/>
      <c r="E33" s="1"/>
      <c r="F33" s="1"/>
      <c r="G33" s="2"/>
      <c r="H33" s="1"/>
    </row>
    <row r="34" spans="5:8" ht="12.75">
      <c r="E34" s="24"/>
      <c r="F34" s="24"/>
      <c r="H34" s="32"/>
    </row>
    <row r="35" spans="3:6" ht="20.25">
      <c r="C35" s="28"/>
      <c r="D35" s="35"/>
      <c r="E35" s="24"/>
      <c r="F35" s="24"/>
    </row>
    <row r="36" spans="3:8" ht="20.25">
      <c r="C36" s="28"/>
      <c r="D36" s="36"/>
      <c r="F36" s="24"/>
      <c r="H36" s="24"/>
    </row>
    <row r="37" spans="3:4" ht="20.25">
      <c r="C37" s="28"/>
      <c r="D37" s="36"/>
    </row>
    <row r="38" spans="3:4" ht="20.25">
      <c r="C38" s="28"/>
      <c r="D38" s="36"/>
    </row>
  </sheetData>
  <sheetProtection/>
  <mergeCells count="4">
    <mergeCell ref="B3:H3"/>
    <mergeCell ref="B2:H2"/>
    <mergeCell ref="B4:H4"/>
    <mergeCell ref="B5:H5"/>
  </mergeCells>
  <printOptions/>
  <pageMargins left="0.5905511811023623" right="0" top="0.1968503937007874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3">
      <selection activeCell="G6" sqref="G6"/>
    </sheetView>
  </sheetViews>
  <sheetFormatPr defaultColWidth="9.00390625" defaultRowHeight="12.75"/>
  <cols>
    <col min="1" max="1" width="12.875" style="25" customWidth="1"/>
    <col min="2" max="2" width="47.25390625" style="0" customWidth="1"/>
    <col min="3" max="3" width="16.875" style="22" customWidth="1"/>
    <col min="4" max="4" width="16.25390625" style="22" customWidth="1"/>
    <col min="5" max="5" width="13.875" style="0" customWidth="1"/>
    <col min="6" max="6" width="14.375" style="0" customWidth="1"/>
    <col min="7" max="7" width="16.25390625" style="0" customWidth="1"/>
  </cols>
  <sheetData>
    <row r="1" spans="2:7" ht="18.75">
      <c r="B1" s="5"/>
      <c r="C1" s="21"/>
      <c r="D1" s="21"/>
      <c r="E1" s="5"/>
      <c r="F1" s="5"/>
      <c r="G1" s="7">
        <v>2</v>
      </c>
    </row>
    <row r="2" spans="2:7" ht="18.75">
      <c r="B2" s="26" t="s">
        <v>31</v>
      </c>
      <c r="C2" s="26"/>
      <c r="D2" s="26"/>
      <c r="E2" s="26"/>
      <c r="F2" s="26"/>
      <c r="G2" s="26"/>
    </row>
    <row r="3" spans="2:7" ht="18.75">
      <c r="B3" s="26" t="s">
        <v>36</v>
      </c>
      <c r="C3" s="26"/>
      <c r="D3" s="26"/>
      <c r="E3" s="26"/>
      <c r="F3" s="26"/>
      <c r="G3" s="26"/>
    </row>
    <row r="4" spans="1:7" ht="18.75">
      <c r="A4" s="57" t="s">
        <v>63</v>
      </c>
      <c r="B4" s="57"/>
      <c r="C4" s="57"/>
      <c r="D4" s="57"/>
      <c r="E4" s="57"/>
      <c r="F4" s="57"/>
      <c r="G4" s="57"/>
    </row>
    <row r="5" spans="1:7" ht="18.75">
      <c r="A5" s="57" t="s">
        <v>44</v>
      </c>
      <c r="B5" s="57"/>
      <c r="C5" s="57"/>
      <c r="D5" s="57"/>
      <c r="E5" s="57"/>
      <c r="F5" s="57"/>
      <c r="G5" s="57"/>
    </row>
    <row r="6" spans="2:7" ht="18.75">
      <c r="B6" s="5"/>
      <c r="C6" s="21"/>
      <c r="D6" s="21"/>
      <c r="E6" s="5"/>
      <c r="F6" s="5"/>
      <c r="G6" s="18" t="s">
        <v>11</v>
      </c>
    </row>
    <row r="7" spans="1:7" s="3" customFormat="1" ht="126.75" customHeight="1">
      <c r="A7" s="55" t="s">
        <v>40</v>
      </c>
      <c r="B7" s="55" t="s">
        <v>41</v>
      </c>
      <c r="C7" s="56" t="s">
        <v>64</v>
      </c>
      <c r="D7" s="56" t="s">
        <v>60</v>
      </c>
      <c r="E7" s="55" t="s">
        <v>65</v>
      </c>
      <c r="F7" s="55" t="s">
        <v>16</v>
      </c>
      <c r="G7" s="55" t="s">
        <v>57</v>
      </c>
    </row>
    <row r="8" spans="1:7" ht="24" customHeight="1">
      <c r="A8" s="46" t="s">
        <v>43</v>
      </c>
      <c r="B8" s="47" t="s">
        <v>42</v>
      </c>
      <c r="C8" s="31">
        <v>26381.57861</v>
      </c>
      <c r="D8" s="44">
        <v>33048.237</v>
      </c>
      <c r="E8" s="31">
        <v>31083.71747</v>
      </c>
      <c r="F8" s="14">
        <f>E8/D8*100</f>
        <v>94.05559960732549</v>
      </c>
      <c r="G8" s="14">
        <f>E8-C8</f>
        <v>4702.138859999999</v>
      </c>
    </row>
    <row r="9" spans="1:7" ht="20.25" customHeight="1">
      <c r="A9" s="16">
        <v>1000</v>
      </c>
      <c r="B9" s="47" t="s">
        <v>0</v>
      </c>
      <c r="C9" s="31">
        <v>169911.37459</v>
      </c>
      <c r="D9" s="14">
        <v>202218.63924</v>
      </c>
      <c r="E9" s="31">
        <v>183663.75317</v>
      </c>
      <c r="F9" s="14">
        <f aca="true" t="shared" si="0" ref="F9:F22">E9/D9*100</f>
        <v>90.82434431379077</v>
      </c>
      <c r="G9" s="14">
        <f aca="true" t="shared" si="1" ref="G9:G20">E9-C9</f>
        <v>13752.378580000019</v>
      </c>
    </row>
    <row r="10" spans="1:7" ht="20.25">
      <c r="A10" s="16">
        <v>2000</v>
      </c>
      <c r="B10" s="47" t="s">
        <v>37</v>
      </c>
      <c r="C10" s="31">
        <v>74258.61164</v>
      </c>
      <c r="D10" s="14">
        <v>68772.18511</v>
      </c>
      <c r="E10" s="31">
        <v>58898.84837</v>
      </c>
      <c r="F10" s="14">
        <f t="shared" si="0"/>
        <v>85.64341568585067</v>
      </c>
      <c r="G10" s="14">
        <f t="shared" si="1"/>
        <v>-15359.763270000003</v>
      </c>
    </row>
    <row r="11" spans="1:11" ht="39" customHeight="1">
      <c r="A11" s="16">
        <v>3000</v>
      </c>
      <c r="B11" s="47" t="s">
        <v>38</v>
      </c>
      <c r="C11" s="14">
        <v>118859.8171</v>
      </c>
      <c r="D11" s="14">
        <v>13638.62391</v>
      </c>
      <c r="E11" s="14">
        <v>10560.16529</v>
      </c>
      <c r="F11" s="14">
        <f t="shared" si="0"/>
        <v>77.42837810973849</v>
      </c>
      <c r="G11" s="14">
        <f t="shared" si="1"/>
        <v>-108299.65181</v>
      </c>
      <c r="I11" s="24"/>
      <c r="J11" s="24"/>
      <c r="K11" s="24"/>
    </row>
    <row r="12" spans="1:7" ht="39" customHeight="1">
      <c r="A12" s="16">
        <v>4000</v>
      </c>
      <c r="B12" s="47" t="s">
        <v>1</v>
      </c>
      <c r="C12" s="31">
        <v>8477.84722</v>
      </c>
      <c r="D12" s="14">
        <v>9808.82418</v>
      </c>
      <c r="E12" s="31">
        <v>8607.41666</v>
      </c>
      <c r="F12" s="14">
        <f t="shared" si="0"/>
        <v>87.75176822468033</v>
      </c>
      <c r="G12" s="14">
        <f t="shared" si="1"/>
        <v>129.56944000000112</v>
      </c>
    </row>
    <row r="13" spans="1:7" ht="21.75" customHeight="1">
      <c r="A13" s="16">
        <v>5000</v>
      </c>
      <c r="B13" s="47" t="s">
        <v>29</v>
      </c>
      <c r="C13" s="14">
        <v>6378.09337</v>
      </c>
      <c r="D13" s="14">
        <v>7881.938</v>
      </c>
      <c r="E13" s="14">
        <v>6188.53152</v>
      </c>
      <c r="F13" s="14">
        <f t="shared" si="0"/>
        <v>78.51535396497663</v>
      </c>
      <c r="G13" s="14">
        <f t="shared" si="1"/>
        <v>-189.56185000000005</v>
      </c>
    </row>
    <row r="14" spans="1:7" ht="45.75" customHeight="1">
      <c r="A14" s="16">
        <v>6000</v>
      </c>
      <c r="B14" s="47" t="s">
        <v>39</v>
      </c>
      <c r="C14" s="31">
        <v>25927.93358</v>
      </c>
      <c r="D14" s="14">
        <v>35115.36569</v>
      </c>
      <c r="E14" s="15">
        <v>29061.83249</v>
      </c>
      <c r="F14" s="14">
        <f t="shared" si="0"/>
        <v>82.76101335967606</v>
      </c>
      <c r="G14" s="14">
        <f t="shared" si="1"/>
        <v>3133.89891</v>
      </c>
    </row>
    <row r="15" spans="1:7" ht="45.75" customHeight="1">
      <c r="A15" s="40" t="s">
        <v>51</v>
      </c>
      <c r="B15" s="48" t="s">
        <v>66</v>
      </c>
      <c r="C15" s="31"/>
      <c r="D15" s="31">
        <v>293.85</v>
      </c>
      <c r="E15" s="31"/>
      <c r="F15" s="14">
        <f>E15/D15*100</f>
        <v>0</v>
      </c>
      <c r="G15" s="14">
        <f>E15-C15</f>
        <v>0</v>
      </c>
    </row>
    <row r="16" spans="1:7" ht="60" customHeight="1">
      <c r="A16" s="49" t="s">
        <v>45</v>
      </c>
      <c r="B16" s="50" t="s">
        <v>52</v>
      </c>
      <c r="C16" s="31">
        <v>10963.24039</v>
      </c>
      <c r="D16" s="31">
        <f>3370.134+80.6</f>
        <v>3450.734</v>
      </c>
      <c r="E16" s="31">
        <f>56.53+3296.05453</f>
        <v>3352.58453</v>
      </c>
      <c r="F16" s="14">
        <f t="shared" si="0"/>
        <v>97.1556929627146</v>
      </c>
      <c r="G16" s="14">
        <f t="shared" si="1"/>
        <v>-7610.655860000001</v>
      </c>
    </row>
    <row r="17" spans="1:7" ht="66.75" customHeight="1">
      <c r="A17" s="49" t="s">
        <v>46</v>
      </c>
      <c r="B17" s="47" t="s">
        <v>53</v>
      </c>
      <c r="C17" s="51">
        <v>50</v>
      </c>
      <c r="D17" s="31">
        <v>478.688</v>
      </c>
      <c r="E17" s="31">
        <v>298.72443</v>
      </c>
      <c r="F17" s="14">
        <f>E17/D17*100</f>
        <v>62.40482945049802</v>
      </c>
      <c r="G17" s="14">
        <f>E17-C17</f>
        <v>248.72442999999998</v>
      </c>
    </row>
    <row r="18" spans="1:7" ht="55.5" customHeight="1">
      <c r="A18" s="40" t="s">
        <v>54</v>
      </c>
      <c r="B18" s="48" t="s">
        <v>55</v>
      </c>
      <c r="C18" s="15">
        <v>259.63695</v>
      </c>
      <c r="D18" s="15">
        <f>164+320.097</f>
        <v>484.097</v>
      </c>
      <c r="E18" s="15">
        <f>151.085+271.78711</f>
        <v>422.87211</v>
      </c>
      <c r="F18" s="14">
        <f t="shared" si="0"/>
        <v>87.35276401217112</v>
      </c>
      <c r="G18" s="14">
        <f t="shared" si="1"/>
        <v>163.23516</v>
      </c>
    </row>
    <row r="19" spans="1:7" ht="40.5" customHeight="1">
      <c r="A19" s="52">
        <v>8200</v>
      </c>
      <c r="B19" s="48" t="s">
        <v>56</v>
      </c>
      <c r="C19" s="15">
        <v>835.72682</v>
      </c>
      <c r="D19" s="15">
        <f>1365.184+212.7+402.807</f>
        <v>1980.691</v>
      </c>
      <c r="E19" s="15">
        <f>1338.50228+108.762+338.6715</f>
        <v>1785.9357799999998</v>
      </c>
      <c r="F19" s="14">
        <f t="shared" si="0"/>
        <v>90.16730928751632</v>
      </c>
      <c r="G19" s="14">
        <f t="shared" si="1"/>
        <v>950.2089599999998</v>
      </c>
    </row>
    <row r="20" spans="1:7" ht="31.5" customHeight="1">
      <c r="A20" s="40" t="s">
        <v>47</v>
      </c>
      <c r="B20" s="53" t="s">
        <v>48</v>
      </c>
      <c r="C20" s="15">
        <v>1279.88647</v>
      </c>
      <c r="D20" s="15">
        <v>2212.367</v>
      </c>
      <c r="E20" s="15">
        <v>2007.70436</v>
      </c>
      <c r="F20" s="31">
        <f t="shared" si="0"/>
        <v>90.74915509045289</v>
      </c>
      <c r="G20" s="14">
        <f t="shared" si="1"/>
        <v>727.81789</v>
      </c>
    </row>
    <row r="21" spans="1:7" ht="35.25" customHeight="1">
      <c r="A21" s="40" t="s">
        <v>49</v>
      </c>
      <c r="B21" s="53" t="s">
        <v>50</v>
      </c>
      <c r="C21" s="31"/>
      <c r="D21" s="15">
        <v>1097.65</v>
      </c>
      <c r="E21" s="31"/>
      <c r="F21" s="31">
        <f>E21/D21*100</f>
        <v>0</v>
      </c>
      <c r="G21" s="14">
        <f>E21-C21</f>
        <v>0</v>
      </c>
    </row>
    <row r="22" spans="1:7" ht="20.25">
      <c r="A22" s="11"/>
      <c r="B22" s="11" t="s">
        <v>33</v>
      </c>
      <c r="C22" s="54">
        <f>SUM(C8:C21)</f>
        <v>443583.74674000003</v>
      </c>
      <c r="D22" s="54">
        <f>SUM(D8:D21)</f>
        <v>380481.8901300001</v>
      </c>
      <c r="E22" s="54">
        <f>E8+E9+E10+E11+E12+E13+E14+E16+E17+E18+E19+E20+E21</f>
        <v>335932.08618</v>
      </c>
      <c r="F22" s="12">
        <f t="shared" si="0"/>
        <v>88.29121566475118</v>
      </c>
      <c r="G22" s="54">
        <f>SUM(G8:G21)</f>
        <v>-107651.66055999996</v>
      </c>
    </row>
    <row r="23" spans="1:7" ht="18.75">
      <c r="A23" s="27"/>
      <c r="B23" s="6"/>
      <c r="C23" s="21"/>
      <c r="D23" s="34"/>
      <c r="E23" s="5"/>
      <c r="F23" s="5"/>
      <c r="G23" s="5"/>
    </row>
    <row r="24" spans="1:7" ht="18.75">
      <c r="A24" s="27"/>
      <c r="B24" s="5"/>
      <c r="C24" s="38"/>
      <c r="D24" s="21"/>
      <c r="E24" s="39"/>
      <c r="F24" s="5"/>
      <c r="G24" s="5"/>
    </row>
    <row r="25" spans="1:7" ht="18.75">
      <c r="A25" s="27"/>
      <c r="B25" s="5"/>
      <c r="C25" s="38"/>
      <c r="D25" s="21"/>
      <c r="E25" s="39"/>
      <c r="F25" s="5"/>
      <c r="G25" s="5"/>
    </row>
    <row r="26" spans="1:7" ht="18.75">
      <c r="A26" s="27"/>
      <c r="B26" s="37"/>
      <c r="C26" s="38"/>
      <c r="D26" s="21"/>
      <c r="E26" s="5"/>
      <c r="F26" s="5"/>
      <c r="G26" s="5"/>
    </row>
    <row r="27" spans="1:7" ht="18.75">
      <c r="A27" s="27"/>
      <c r="B27" s="5"/>
      <c r="C27" s="21"/>
      <c r="D27" s="21"/>
      <c r="E27" s="5"/>
      <c r="F27" s="5"/>
      <c r="G27" s="5"/>
    </row>
    <row r="28" spans="1:7" ht="18.75">
      <c r="A28" s="27"/>
      <c r="B28" s="5"/>
      <c r="C28" s="21"/>
      <c r="D28" s="21"/>
      <c r="E28" s="5"/>
      <c r="F28" s="5"/>
      <c r="G28" s="5"/>
    </row>
    <row r="29" spans="1:7" ht="18.75">
      <c r="A29" s="27"/>
      <c r="B29" s="5"/>
      <c r="C29" s="21"/>
      <c r="D29" s="21"/>
      <c r="E29" s="5"/>
      <c r="F29" s="5"/>
      <c r="G29" s="5"/>
    </row>
    <row r="30" spans="1:7" ht="18.75">
      <c r="A30" s="27"/>
      <c r="B30" s="5"/>
      <c r="C30" s="21"/>
      <c r="D30" s="21"/>
      <c r="E30" s="5"/>
      <c r="F30" s="5"/>
      <c r="G30" s="5"/>
    </row>
    <row r="31" spans="1:7" ht="18.75">
      <c r="A31" s="27"/>
      <c r="B31" s="5"/>
      <c r="C31" s="21"/>
      <c r="D31" s="21"/>
      <c r="E31" s="5"/>
      <c r="F31" s="5"/>
      <c r="G31" s="5"/>
    </row>
    <row r="32" spans="1:7" ht="18.75">
      <c r="A32" s="27"/>
      <c r="B32" s="5"/>
      <c r="C32" s="21"/>
      <c r="D32" s="21"/>
      <c r="E32" s="5"/>
      <c r="F32" s="5"/>
      <c r="G32" s="5"/>
    </row>
    <row r="33" spans="1:7" ht="18.75">
      <c r="A33" s="27"/>
      <c r="B33" s="5"/>
      <c r="C33" s="21"/>
      <c r="D33" s="21"/>
      <c r="E33" s="5"/>
      <c r="F33" s="5"/>
      <c r="G33" s="5"/>
    </row>
    <row r="34" spans="1:7" ht="18.75">
      <c r="A34" s="27"/>
      <c r="B34" s="5"/>
      <c r="C34" s="21"/>
      <c r="D34" s="21"/>
      <c r="E34" s="5"/>
      <c r="F34" s="5"/>
      <c r="G34" s="5"/>
    </row>
    <row r="35" spans="1:7" ht="18.75">
      <c r="A35" s="27"/>
      <c r="B35" s="5"/>
      <c r="C35" s="21"/>
      <c r="D35" s="21"/>
      <c r="E35" s="5"/>
      <c r="F35" s="5"/>
      <c r="G35" s="5"/>
    </row>
    <row r="36" spans="1:7" ht="18.75">
      <c r="A36" s="27"/>
      <c r="B36" s="5"/>
      <c r="C36" s="21"/>
      <c r="D36" s="21"/>
      <c r="E36" s="5"/>
      <c r="F36" s="5"/>
      <c r="G36" s="5"/>
    </row>
    <row r="37" spans="1:7" ht="18.75">
      <c r="A37" s="27"/>
      <c r="B37" s="5"/>
      <c r="C37" s="21"/>
      <c r="D37" s="21"/>
      <c r="E37" s="5"/>
      <c r="F37" s="5"/>
      <c r="G37" s="5"/>
    </row>
    <row r="38" spans="1:7" ht="18.75">
      <c r="A38" s="27"/>
      <c r="B38" s="5"/>
      <c r="C38" s="21"/>
      <c r="D38" s="21"/>
      <c r="E38" s="5"/>
      <c r="F38" s="5"/>
      <c r="G38" s="5"/>
    </row>
    <row r="39" spans="1:7" ht="18.75">
      <c r="A39" s="27"/>
      <c r="B39" s="5"/>
      <c r="C39" s="21"/>
      <c r="D39" s="21"/>
      <c r="E39" s="5"/>
      <c r="F39" s="5"/>
      <c r="G39" s="5"/>
    </row>
    <row r="40" ht="18.75">
      <c r="A40" s="27"/>
    </row>
    <row r="41" ht="18.75">
      <c r="A41" s="27"/>
    </row>
    <row r="42" ht="18.75">
      <c r="A42" s="27"/>
    </row>
  </sheetData>
  <sheetProtection/>
  <mergeCells count="2">
    <mergeCell ref="A4:G4"/>
    <mergeCell ref="A5:G5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Позднякова</cp:lastModifiedBy>
  <cp:lastPrinted>2020-07-06T10:42:07Z</cp:lastPrinted>
  <dcterms:created xsi:type="dcterms:W3CDTF">2003-04-14T04:34:14Z</dcterms:created>
  <dcterms:modified xsi:type="dcterms:W3CDTF">2020-07-06T10:42:08Z</dcterms:modified>
  <cp:category/>
  <cp:version/>
  <cp:contentType/>
  <cp:contentStatus/>
</cp:coreProperties>
</file>