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І півріччя 2020 року" sheetId="1" r:id="rId1"/>
    <sheet name="І півріччя 2020 року НСЗУ" sheetId="2" r:id="rId2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7" i="2"/>
  <c r="E87" s="1"/>
  <c r="C87"/>
  <c r="D86"/>
  <c r="E86" s="1"/>
  <c r="C86"/>
  <c r="D85"/>
  <c r="E85" s="1"/>
  <c r="C85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D83"/>
  <c r="E83" s="1"/>
  <c r="C83"/>
  <c r="D82"/>
  <c r="E82" s="1"/>
  <c r="C82"/>
  <c r="D81"/>
  <c r="E81" s="1"/>
  <c r="C81"/>
  <c r="D80"/>
  <c r="E80" s="1"/>
  <c r="C80"/>
  <c r="D79"/>
  <c r="E79" s="1"/>
  <c r="C79"/>
  <c r="D78"/>
  <c r="E78" s="1"/>
  <c r="C78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D76"/>
  <c r="E76" s="1"/>
  <c r="C76"/>
  <c r="D75"/>
  <c r="E75" s="1"/>
  <c r="C75"/>
  <c r="D74"/>
  <c r="E74" s="1"/>
  <c r="C74"/>
  <c r="D73"/>
  <c r="E73" s="1"/>
  <c r="C73"/>
  <c r="D72"/>
  <c r="E72" s="1"/>
  <c r="C72"/>
  <c r="D71"/>
  <c r="E71" s="1"/>
  <c r="C71"/>
  <c r="D70"/>
  <c r="E70" s="1"/>
  <c r="C70"/>
  <c r="D69"/>
  <c r="E69" s="1"/>
  <c r="C69"/>
  <c r="D68"/>
  <c r="E68" s="1"/>
  <c r="C68"/>
  <c r="D67"/>
  <c r="E67" s="1"/>
  <c r="C67"/>
  <c r="D66"/>
  <c r="E66" s="1"/>
  <c r="C66"/>
  <c r="D65"/>
  <c r="E65" s="1"/>
  <c r="C65"/>
  <c r="D64"/>
  <c r="E64" s="1"/>
  <c r="C64"/>
  <c r="O63"/>
  <c r="D63"/>
  <c r="E63" s="1"/>
  <c r="C63"/>
  <c r="D62"/>
  <c r="E62" s="1"/>
  <c r="C62"/>
  <c r="D61"/>
  <c r="E61" s="1"/>
  <c r="C61"/>
  <c r="D60"/>
  <c r="E60" s="1"/>
  <c r="C60"/>
  <c r="D59"/>
  <c r="E59" s="1"/>
  <c r="C59"/>
  <c r="D58"/>
  <c r="E58" s="1"/>
  <c r="C58"/>
  <c r="D57"/>
  <c r="E57" s="1"/>
  <c r="C57"/>
  <c r="D56"/>
  <c r="E56" s="1"/>
  <c r="C56"/>
  <c r="D55"/>
  <c r="E55" s="1"/>
  <c r="C55"/>
  <c r="Q54"/>
  <c r="P54"/>
  <c r="N54"/>
  <c r="D54"/>
  <c r="E54" s="1"/>
  <c r="C54"/>
  <c r="D53"/>
  <c r="E53" s="1"/>
  <c r="C53"/>
  <c r="D52"/>
  <c r="E52" s="1"/>
  <c r="C52"/>
  <c r="D51"/>
  <c r="E51" s="1"/>
  <c r="C51"/>
  <c r="O50"/>
  <c r="N50"/>
  <c r="D50"/>
  <c r="E50" s="1"/>
  <c r="C50"/>
  <c r="D49"/>
  <c r="E49" s="1"/>
  <c r="C49"/>
  <c r="Q48"/>
  <c r="P48"/>
  <c r="D48"/>
  <c r="E48" s="1"/>
  <c r="C48"/>
  <c r="D47"/>
  <c r="E47" s="1"/>
  <c r="C47"/>
  <c r="D46"/>
  <c r="E46" s="1"/>
  <c r="C46"/>
  <c r="D45"/>
  <c r="E45" s="1"/>
  <c r="C45"/>
  <c r="N43"/>
  <c r="I43"/>
  <c r="K43" s="1"/>
  <c r="D43" s="1"/>
  <c r="AC42"/>
  <c r="AC44" s="1"/>
  <c r="AB42"/>
  <c r="AB44" s="1"/>
  <c r="AA42"/>
  <c r="AA44" s="1"/>
  <c r="Z42"/>
  <c r="Z44" s="1"/>
  <c r="Y42"/>
  <c r="Y44" s="1"/>
  <c r="X42"/>
  <c r="X44" s="1"/>
  <c r="W42"/>
  <c r="W44" s="1"/>
  <c r="V42"/>
  <c r="V44" s="1"/>
  <c r="U42"/>
  <c r="U44" s="1"/>
  <c r="T42"/>
  <c r="T44" s="1"/>
  <c r="S42"/>
  <c r="S44" s="1"/>
  <c r="R42"/>
  <c r="R44" s="1"/>
  <c r="Q42"/>
  <c r="Q44" s="1"/>
  <c r="P42"/>
  <c r="P44" s="1"/>
  <c r="O42"/>
  <c r="O44" s="1"/>
  <c r="N42"/>
  <c r="N44" s="1"/>
  <c r="M42"/>
  <c r="M44" s="1"/>
  <c r="L42"/>
  <c r="L44" s="1"/>
  <c r="K42"/>
  <c r="K44" s="1"/>
  <c r="J42"/>
  <c r="J44" s="1"/>
  <c r="I42"/>
  <c r="I44" s="1"/>
  <c r="H42"/>
  <c r="H44" s="1"/>
  <c r="G42"/>
  <c r="G44" s="1"/>
  <c r="F42"/>
  <c r="F44" s="1"/>
  <c r="D42"/>
  <c r="D44" s="1"/>
  <c r="C42"/>
  <c r="C44" s="1"/>
  <c r="D41"/>
  <c r="E41" s="1"/>
  <c r="C41"/>
  <c r="D40"/>
  <c r="E40" s="1"/>
  <c r="C40"/>
  <c r="P39"/>
  <c r="D39"/>
  <c r="E39" s="1"/>
  <c r="C39"/>
  <c r="D38"/>
  <c r="E38" s="1"/>
  <c r="C38"/>
  <c r="D37"/>
  <c r="E37" s="1"/>
  <c r="C37"/>
  <c r="D36"/>
  <c r="E36" s="1"/>
  <c r="C36"/>
  <c r="D35"/>
  <c r="E35" s="1"/>
  <c r="C35"/>
  <c r="D34"/>
  <c r="E34" s="1"/>
  <c r="C34"/>
  <c r="D33"/>
  <c r="E33" s="1"/>
  <c r="C33"/>
  <c r="D32"/>
  <c r="E32" s="1"/>
  <c r="C32"/>
  <c r="D31"/>
  <c r="E31" s="1"/>
  <c r="C31"/>
  <c r="D30"/>
  <c r="E30" s="1"/>
  <c r="C30"/>
  <c r="D28"/>
  <c r="C28"/>
  <c r="AC27"/>
  <c r="AC29" s="1"/>
  <c r="AB27"/>
  <c r="AB29" s="1"/>
  <c r="AA27"/>
  <c r="AA29" s="1"/>
  <c r="Z27"/>
  <c r="Z29" s="1"/>
  <c r="Y27"/>
  <c r="Y29" s="1"/>
  <c r="X27"/>
  <c r="X29" s="1"/>
  <c r="W27"/>
  <c r="W29" s="1"/>
  <c r="V27"/>
  <c r="V29" s="1"/>
  <c r="U27"/>
  <c r="U29" s="1"/>
  <c r="T27"/>
  <c r="T29" s="1"/>
  <c r="S27"/>
  <c r="S29" s="1"/>
  <c r="R27"/>
  <c r="R29" s="1"/>
  <c r="Q27"/>
  <c r="Q29" s="1"/>
  <c r="P27"/>
  <c r="P29" s="1"/>
  <c r="O27"/>
  <c r="O29" s="1"/>
  <c r="N27"/>
  <c r="N29" s="1"/>
  <c r="M27"/>
  <c r="M29" s="1"/>
  <c r="L27"/>
  <c r="L29" s="1"/>
  <c r="K27"/>
  <c r="K29" s="1"/>
  <c r="J27"/>
  <c r="J29" s="1"/>
  <c r="I27"/>
  <c r="I29" s="1"/>
  <c r="H27"/>
  <c r="H29" s="1"/>
  <c r="G27"/>
  <c r="D27" s="1"/>
  <c r="E27" s="1"/>
  <c r="F27"/>
  <c r="F29" s="1"/>
  <c r="C27"/>
  <c r="C29" s="1"/>
  <c r="D26"/>
  <c r="E26" s="1"/>
  <c r="C26"/>
  <c r="D25"/>
  <c r="C25"/>
  <c r="E25" s="1"/>
  <c r="D24"/>
  <c r="E24" s="1"/>
  <c r="C24"/>
  <c r="D23"/>
  <c r="C23"/>
  <c r="E23" s="1"/>
  <c r="D22"/>
  <c r="E22" s="1"/>
  <c r="C22"/>
  <c r="D21"/>
  <c r="C21"/>
  <c r="E21" s="1"/>
  <c r="D20"/>
  <c r="E20" s="1"/>
  <c r="C20"/>
  <c r="D19"/>
  <c r="E19" s="1"/>
  <c r="C19"/>
  <c r="D18"/>
  <c r="E18" s="1"/>
  <c r="C18"/>
  <c r="D17"/>
  <c r="E17" s="1"/>
  <c r="C17"/>
  <c r="O16"/>
  <c r="N16"/>
  <c r="C16" s="1"/>
  <c r="D16"/>
  <c r="D15"/>
  <c r="C15"/>
  <c r="E15" s="1"/>
  <c r="D14"/>
  <c r="E14" s="1"/>
  <c r="C14"/>
  <c r="D12"/>
  <c r="C12"/>
  <c r="AC11"/>
  <c r="AC88" s="1"/>
  <c r="AB11"/>
  <c r="AB88" s="1"/>
  <c r="AA11"/>
  <c r="AA88" s="1"/>
  <c r="Z11"/>
  <c r="Z88" s="1"/>
  <c r="Y11"/>
  <c r="Y88" s="1"/>
  <c r="X11"/>
  <c r="X88" s="1"/>
  <c r="W11"/>
  <c r="W88" s="1"/>
  <c r="V11"/>
  <c r="V88" s="1"/>
  <c r="U11"/>
  <c r="U88" s="1"/>
  <c r="T11"/>
  <c r="T88" s="1"/>
  <c r="S11"/>
  <c r="S88" s="1"/>
  <c r="R11"/>
  <c r="R88" s="1"/>
  <c r="Q11"/>
  <c r="Q13" s="1"/>
  <c r="P11"/>
  <c r="P88" s="1"/>
  <c r="O11"/>
  <c r="O13" s="1"/>
  <c r="N11"/>
  <c r="N88" s="1"/>
  <c r="M11"/>
  <c r="M13" s="1"/>
  <c r="L11"/>
  <c r="L88" s="1"/>
  <c r="K11"/>
  <c r="K13" s="1"/>
  <c r="J11"/>
  <c r="J88" s="1"/>
  <c r="I11"/>
  <c r="I13" s="1"/>
  <c r="H11"/>
  <c r="H88" s="1"/>
  <c r="G11"/>
  <c r="G13" s="1"/>
  <c r="F11"/>
  <c r="F88" s="1"/>
  <c r="D11"/>
  <c r="D10"/>
  <c r="C10"/>
  <c r="E10" s="1"/>
  <c r="D9"/>
  <c r="D88" s="1"/>
  <c r="C9"/>
  <c r="G1"/>
  <c r="E1" s="1"/>
  <c r="D87" i="1"/>
  <c r="E87" s="1"/>
  <c r="C87"/>
  <c r="I86"/>
  <c r="K86" s="1"/>
  <c r="C86"/>
  <c r="I85"/>
  <c r="D85"/>
  <c r="E85" s="1"/>
  <c r="C85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J83"/>
  <c r="I83"/>
  <c r="H83"/>
  <c r="G83"/>
  <c r="F83"/>
  <c r="C83" s="1"/>
  <c r="D82"/>
  <c r="E82" s="1"/>
  <c r="C82"/>
  <c r="I81"/>
  <c r="K81" s="1"/>
  <c r="D81" s="1"/>
  <c r="E81" s="1"/>
  <c r="C81"/>
  <c r="I80"/>
  <c r="K80" s="1"/>
  <c r="C80"/>
  <c r="I79"/>
  <c r="D79"/>
  <c r="E79" s="1"/>
  <c r="C79"/>
  <c r="I78"/>
  <c r="D78"/>
  <c r="C78"/>
  <c r="E78" s="1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J76"/>
  <c r="I76"/>
  <c r="H76"/>
  <c r="G76"/>
  <c r="F76"/>
  <c r="C76"/>
  <c r="D75"/>
  <c r="C75"/>
  <c r="H74"/>
  <c r="C74" s="1"/>
  <c r="D74"/>
  <c r="D73"/>
  <c r="C73"/>
  <c r="E73" s="1"/>
  <c r="Q72"/>
  <c r="D72"/>
  <c r="C72"/>
  <c r="E72" s="1"/>
  <c r="D71"/>
  <c r="E71" s="1"/>
  <c r="C71"/>
  <c r="I70"/>
  <c r="D70"/>
  <c r="E70" s="1"/>
  <c r="C70"/>
  <c r="D69"/>
  <c r="E69" s="1"/>
  <c r="C69"/>
  <c r="D68"/>
  <c r="E68" s="1"/>
  <c r="C68"/>
  <c r="D67"/>
  <c r="E67" s="1"/>
  <c r="C67"/>
  <c r="D66"/>
  <c r="E66" s="1"/>
  <c r="C66"/>
  <c r="D65"/>
  <c r="E65" s="1"/>
  <c r="C65"/>
  <c r="D64"/>
  <c r="E64" s="1"/>
  <c r="C64"/>
  <c r="M63"/>
  <c r="L63"/>
  <c r="D63"/>
  <c r="E63" s="1"/>
  <c r="C63"/>
  <c r="D62"/>
  <c r="E62" s="1"/>
  <c r="C62"/>
  <c r="K61"/>
  <c r="J61"/>
  <c r="D61"/>
  <c r="E61" s="1"/>
  <c r="C61"/>
  <c r="D60"/>
  <c r="E60" s="1"/>
  <c r="C60"/>
  <c r="D59"/>
  <c r="E59" s="1"/>
  <c r="C59"/>
  <c r="D58"/>
  <c r="E58" s="1"/>
  <c r="C58"/>
  <c r="D57"/>
  <c r="E57" s="1"/>
  <c r="C57"/>
  <c r="D56"/>
  <c r="E56" s="1"/>
  <c r="C56"/>
  <c r="D55"/>
  <c r="E55" s="1"/>
  <c r="C55"/>
  <c r="M54"/>
  <c r="L54"/>
  <c r="K54"/>
  <c r="J54"/>
  <c r="D54"/>
  <c r="E54" s="1"/>
  <c r="C54"/>
  <c r="M53"/>
  <c r="L53"/>
  <c r="I53"/>
  <c r="G53"/>
  <c r="D53"/>
  <c r="E53" s="1"/>
  <c r="C53"/>
  <c r="D52"/>
  <c r="E52" s="1"/>
  <c r="C52"/>
  <c r="M51"/>
  <c r="D51"/>
  <c r="E51" s="1"/>
  <c r="C51"/>
  <c r="M50"/>
  <c r="K50"/>
  <c r="I50"/>
  <c r="G50"/>
  <c r="D50"/>
  <c r="E50" s="1"/>
  <c r="C50"/>
  <c r="D49"/>
  <c r="E49" s="1"/>
  <c r="C49"/>
  <c r="K48"/>
  <c r="J48"/>
  <c r="D48"/>
  <c r="E48" s="1"/>
  <c r="C48"/>
  <c r="D47"/>
  <c r="E47" s="1"/>
  <c r="C47"/>
  <c r="D46"/>
  <c r="E46" s="1"/>
  <c r="C46"/>
  <c r="M45"/>
  <c r="K45"/>
  <c r="J45"/>
  <c r="H45"/>
  <c r="D45"/>
  <c r="E45" s="1"/>
  <c r="C45"/>
  <c r="I43"/>
  <c r="K43" s="1"/>
  <c r="D43" s="1"/>
  <c r="AC42"/>
  <c r="AC44" s="1"/>
  <c r="AB42"/>
  <c r="AB44" s="1"/>
  <c r="AA42"/>
  <c r="AA44" s="1"/>
  <c r="Z42"/>
  <c r="Z44" s="1"/>
  <c r="Y42"/>
  <c r="Y44" s="1"/>
  <c r="X42"/>
  <c r="X44" s="1"/>
  <c r="W42"/>
  <c r="W44" s="1"/>
  <c r="V42"/>
  <c r="V44" s="1"/>
  <c r="U42"/>
  <c r="U44" s="1"/>
  <c r="T42"/>
  <c r="T44" s="1"/>
  <c r="S42"/>
  <c r="S44" s="1"/>
  <c r="R42"/>
  <c r="R44" s="1"/>
  <c r="Q42"/>
  <c r="Q44" s="1"/>
  <c r="P42"/>
  <c r="P44" s="1"/>
  <c r="O42"/>
  <c r="O44" s="1"/>
  <c r="N42"/>
  <c r="N44" s="1"/>
  <c r="M42"/>
  <c r="M44" s="1"/>
  <c r="L42"/>
  <c r="L44" s="1"/>
  <c r="K42"/>
  <c r="K44" s="1"/>
  <c r="J42"/>
  <c r="J44" s="1"/>
  <c r="I42"/>
  <c r="I44" s="1"/>
  <c r="H42"/>
  <c r="H44" s="1"/>
  <c r="G42"/>
  <c r="G44" s="1"/>
  <c r="F42"/>
  <c r="F44" s="1"/>
  <c r="D42"/>
  <c r="D44" s="1"/>
  <c r="C42"/>
  <c r="C44" s="1"/>
  <c r="I41"/>
  <c r="D41"/>
  <c r="E41" s="1"/>
  <c r="C41"/>
  <c r="D40"/>
  <c r="E40" s="1"/>
  <c r="C40"/>
  <c r="O39"/>
  <c r="M39"/>
  <c r="D39"/>
  <c r="E39" s="1"/>
  <c r="C39"/>
  <c r="M38"/>
  <c r="K38"/>
  <c r="J38"/>
  <c r="D38"/>
  <c r="E38" s="1"/>
  <c r="C38"/>
  <c r="D37"/>
  <c r="E37" s="1"/>
  <c r="C37"/>
  <c r="D36"/>
  <c r="E36" s="1"/>
  <c r="C36"/>
  <c r="K35"/>
  <c r="J35"/>
  <c r="I35"/>
  <c r="H35"/>
  <c r="D35"/>
  <c r="E35" s="1"/>
  <c r="C35"/>
  <c r="K34"/>
  <c r="J34"/>
  <c r="D34"/>
  <c r="E34" s="1"/>
  <c r="C34"/>
  <c r="O33"/>
  <c r="N33"/>
  <c r="M33"/>
  <c r="K33"/>
  <c r="J33"/>
  <c r="D33"/>
  <c r="E33" s="1"/>
  <c r="C33"/>
  <c r="O32"/>
  <c r="M32"/>
  <c r="J32"/>
  <c r="I32"/>
  <c r="H32"/>
  <c r="F32"/>
  <c r="D32"/>
  <c r="E32" s="1"/>
  <c r="C32"/>
  <c r="O31"/>
  <c r="M31"/>
  <c r="K31"/>
  <c r="J31"/>
  <c r="I31"/>
  <c r="H31"/>
  <c r="D31"/>
  <c r="E31" s="1"/>
  <c r="C31"/>
  <c r="D30"/>
  <c r="E30" s="1"/>
  <c r="C30"/>
  <c r="D28"/>
  <c r="C28"/>
  <c r="AC27"/>
  <c r="AC29" s="1"/>
  <c r="AB27"/>
  <c r="AB29" s="1"/>
  <c r="AA27"/>
  <c r="AA29" s="1"/>
  <c r="Z27"/>
  <c r="Z29" s="1"/>
  <c r="Y27"/>
  <c r="Y29" s="1"/>
  <c r="X27"/>
  <c r="X29" s="1"/>
  <c r="W27"/>
  <c r="W29" s="1"/>
  <c r="V27"/>
  <c r="V29" s="1"/>
  <c r="U27"/>
  <c r="U29" s="1"/>
  <c r="T27"/>
  <c r="T29" s="1"/>
  <c r="S27"/>
  <c r="S29" s="1"/>
  <c r="R27"/>
  <c r="R29" s="1"/>
  <c r="Q27"/>
  <c r="Q29" s="1"/>
  <c r="P27"/>
  <c r="P29" s="1"/>
  <c r="O27"/>
  <c r="O29" s="1"/>
  <c r="N27"/>
  <c r="N29" s="1"/>
  <c r="M27"/>
  <c r="M29" s="1"/>
  <c r="L27"/>
  <c r="L29" s="1"/>
  <c r="K27"/>
  <c r="K29" s="1"/>
  <c r="J27"/>
  <c r="J29" s="1"/>
  <c r="I27"/>
  <c r="I29" s="1"/>
  <c r="H27"/>
  <c r="H29" s="1"/>
  <c r="G27"/>
  <c r="D27" s="1"/>
  <c r="E27" s="1"/>
  <c r="F27"/>
  <c r="F29" s="1"/>
  <c r="C27"/>
  <c r="C29" s="1"/>
  <c r="D26"/>
  <c r="E26" s="1"/>
  <c r="C26"/>
  <c r="D25"/>
  <c r="C25"/>
  <c r="E25" s="1"/>
  <c r="K24"/>
  <c r="J24"/>
  <c r="H24"/>
  <c r="D24"/>
  <c r="E24" s="1"/>
  <c r="C24"/>
  <c r="D23"/>
  <c r="E23" s="1"/>
  <c r="C23"/>
  <c r="D22"/>
  <c r="E22" s="1"/>
  <c r="C22"/>
  <c r="I21"/>
  <c r="H21"/>
  <c r="D21"/>
  <c r="E21" s="1"/>
  <c r="C21"/>
  <c r="D20"/>
  <c r="E20" s="1"/>
  <c r="C20"/>
  <c r="D19"/>
  <c r="E19" s="1"/>
  <c r="C19"/>
  <c r="D18"/>
  <c r="E18" s="1"/>
  <c r="C18"/>
  <c r="O17"/>
  <c r="D17"/>
  <c r="E17" s="1"/>
  <c r="C17"/>
  <c r="O16"/>
  <c r="F16"/>
  <c r="D16"/>
  <c r="E16" s="1"/>
  <c r="C16"/>
  <c r="D15"/>
  <c r="E15" s="1"/>
  <c r="C15"/>
  <c r="N14"/>
  <c r="K14"/>
  <c r="J14"/>
  <c r="I14"/>
  <c r="H14"/>
  <c r="D14"/>
  <c r="E14" s="1"/>
  <c r="C14"/>
  <c r="D12"/>
  <c r="D13" s="1"/>
  <c r="C12"/>
  <c r="AC11"/>
  <c r="AC88" s="1"/>
  <c r="AB11"/>
  <c r="AB88" s="1"/>
  <c r="AA11"/>
  <c r="AA88" s="1"/>
  <c r="Z11"/>
  <c r="Z88" s="1"/>
  <c r="Y11"/>
  <c r="Y88" s="1"/>
  <c r="X11"/>
  <c r="X88" s="1"/>
  <c r="W11"/>
  <c r="W88" s="1"/>
  <c r="V11"/>
  <c r="V88" s="1"/>
  <c r="U11"/>
  <c r="U88" s="1"/>
  <c r="T11"/>
  <c r="T88" s="1"/>
  <c r="S11"/>
  <c r="S88" s="1"/>
  <c r="R11"/>
  <c r="R88" s="1"/>
  <c r="Q11"/>
  <c r="Q88" s="1"/>
  <c r="P11"/>
  <c r="P88" s="1"/>
  <c r="O11"/>
  <c r="O88" s="1"/>
  <c r="N11"/>
  <c r="N88" s="1"/>
  <c r="M11"/>
  <c r="M88" s="1"/>
  <c r="L11"/>
  <c r="L88" s="1"/>
  <c r="K11"/>
  <c r="J11"/>
  <c r="J88" s="1"/>
  <c r="I11"/>
  <c r="I88" s="1"/>
  <c r="H11"/>
  <c r="H88" s="1"/>
  <c r="G11"/>
  <c r="G88" s="1"/>
  <c r="F11"/>
  <c r="F88" s="1"/>
  <c r="D11"/>
  <c r="E11" s="1"/>
  <c r="E13" s="1"/>
  <c r="C11"/>
  <c r="D10"/>
  <c r="E10" s="1"/>
  <c r="C10"/>
  <c r="D9"/>
  <c r="C9"/>
  <c r="C88" s="1"/>
  <c r="G1"/>
  <c r="E1" s="1"/>
  <c r="E75" l="1"/>
  <c r="D29"/>
  <c r="E74"/>
  <c r="E16" i="2"/>
  <c r="D80" i="1"/>
  <c r="E80" s="1"/>
  <c r="K76"/>
  <c r="D76" s="1"/>
  <c r="E76" s="1"/>
  <c r="D86"/>
  <c r="E86" s="1"/>
  <c r="K83"/>
  <c r="D83" s="1"/>
  <c r="E83" s="1"/>
  <c r="D29" i="2"/>
  <c r="E9" i="1"/>
  <c r="G13"/>
  <c r="I13"/>
  <c r="K13"/>
  <c r="M13"/>
  <c r="O13"/>
  <c r="Q13"/>
  <c r="G29"/>
  <c r="E42"/>
  <c r="D13" i="2"/>
  <c r="F13"/>
  <c r="H13"/>
  <c r="J13"/>
  <c r="L13"/>
  <c r="N13"/>
  <c r="P13"/>
  <c r="R13"/>
  <c r="G29"/>
  <c r="E42"/>
  <c r="G88"/>
  <c r="I88"/>
  <c r="K88"/>
  <c r="M88"/>
  <c r="O88"/>
  <c r="Q88"/>
  <c r="F13" i="1"/>
  <c r="H13"/>
  <c r="J13"/>
  <c r="L13"/>
  <c r="N13"/>
  <c r="P13"/>
  <c r="R13"/>
  <c r="E9" i="2"/>
  <c r="C11"/>
  <c r="C88" s="1"/>
  <c r="E88" i="1" l="1"/>
  <c r="E11" i="2"/>
  <c r="E13" s="1"/>
  <c r="D88" i="1"/>
  <c r="K88"/>
  <c r="E88" i="2" l="1"/>
</calcChain>
</file>

<file path=xl/sharedStrings.xml><?xml version="1.0" encoding="utf-8"?>
<sst xmlns="http://schemas.openxmlformats.org/spreadsheetml/2006/main" count="398" uniqueCount="166">
  <si>
    <t>Додаток</t>
  </si>
  <si>
    <t>КНП "ПАВЛОГРАДСЬКА МІСЬКА ЛІКАРНЯ №1"ПМР</t>
  </si>
  <si>
    <t xml:space="preserve"> розпорядник бюджетних коштів</t>
  </si>
  <si>
    <t>тис.грн.</t>
  </si>
  <si>
    <t>№ з/п</t>
  </si>
  <si>
    <t>Назва видатків</t>
  </si>
  <si>
    <t xml:space="preserve"> 2020 рік</t>
  </si>
  <si>
    <t>в тому числі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</si>
  <si>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</si>
  <si>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</si>
  <si>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</si>
  <si>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</si>
  <si>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</si>
  <si>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</si>
  <si>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</si>
  <si>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</si>
  <si>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</si>
  <si>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</si>
  <si>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</si>
  <si>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</si>
  <si>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план</t>
  </si>
  <si>
    <t>виконано</t>
  </si>
  <si>
    <t>% виконання</t>
  </si>
  <si>
    <t>Заробітна плата</t>
  </si>
  <si>
    <t>Нарахування на оплату праці</t>
  </si>
  <si>
    <t>Предмети, матеріали, обладнання-всього</t>
  </si>
  <si>
    <t>з них</t>
  </si>
  <si>
    <t>3.1</t>
  </si>
  <si>
    <t>паливо-мастильні матеріали</t>
  </si>
  <si>
    <t>3.2</t>
  </si>
  <si>
    <t>запчастини</t>
  </si>
  <si>
    <t>3.3</t>
  </si>
  <si>
    <t>будівельні матеріали</t>
  </si>
  <si>
    <t>3.4</t>
  </si>
  <si>
    <t xml:space="preserve">господарчі товари </t>
  </si>
  <si>
    <t>3.5</t>
  </si>
  <si>
    <t>канцелярське приладдя, папір</t>
  </si>
  <si>
    <t>3.6</t>
  </si>
  <si>
    <t>бланки</t>
  </si>
  <si>
    <t>3.7</t>
  </si>
  <si>
    <t>обладнання</t>
  </si>
  <si>
    <t>3.8</t>
  </si>
  <si>
    <t>предплата періодичних видань</t>
  </si>
  <si>
    <t>3.9</t>
  </si>
  <si>
    <t>металопластикові двері, вікна</t>
  </si>
  <si>
    <t>3.10</t>
  </si>
  <si>
    <t>Меблі</t>
  </si>
  <si>
    <t>3.11</t>
  </si>
  <si>
    <t>Засоби індивідуального захисту</t>
  </si>
  <si>
    <t>Штампи</t>
  </si>
  <si>
    <t>3.12</t>
  </si>
  <si>
    <t>памятки</t>
  </si>
  <si>
    <t>4</t>
  </si>
  <si>
    <t>Медикаменти та перев'язувальні матеріали-всього</t>
  </si>
  <si>
    <t>4.1</t>
  </si>
  <si>
    <t>наркотичні засоби</t>
  </si>
  <si>
    <t>4.2</t>
  </si>
  <si>
    <t xml:space="preserve">медикаменти </t>
  </si>
  <si>
    <t>4.3</t>
  </si>
  <si>
    <t>товари медичного призначення (хімреактиви)</t>
  </si>
  <si>
    <t>4.4</t>
  </si>
  <si>
    <t>дезрозчини</t>
  </si>
  <si>
    <t>4.5</t>
  </si>
  <si>
    <t>рукавички медичні</t>
  </si>
  <si>
    <t>4.6</t>
  </si>
  <si>
    <t>рентгенплівка, флюороплівка</t>
  </si>
  <si>
    <t>4.7</t>
  </si>
  <si>
    <t>спирт</t>
  </si>
  <si>
    <t>4.8</t>
  </si>
  <si>
    <t>пульсоксиметри</t>
  </si>
  <si>
    <t>системи ПР, вата, марля, бинт</t>
  </si>
  <si>
    <t>4.9</t>
  </si>
  <si>
    <t>лабораторний посуд</t>
  </si>
  <si>
    <t>5</t>
  </si>
  <si>
    <t>Продукти харчування</t>
  </si>
  <si>
    <t>6</t>
  </si>
  <si>
    <t>Оплата послуг (крім комунальних)-всього</t>
  </si>
  <si>
    <t>з них (розшифрувати)</t>
  </si>
  <si>
    <t>6.1</t>
  </si>
  <si>
    <t>ремонт та обслуговування медичного обладнання</t>
  </si>
  <si>
    <t>6.2</t>
  </si>
  <si>
    <t xml:space="preserve">послуги з інформаціонного мониторингу </t>
  </si>
  <si>
    <t>6.3</t>
  </si>
  <si>
    <t>обслуговування ліфтів</t>
  </si>
  <si>
    <t>6.4</t>
  </si>
  <si>
    <t>ремонт та обслуговування комп'ютерної техніки</t>
  </si>
  <si>
    <t>6.5</t>
  </si>
  <si>
    <t>перезарядка вогнегасників</t>
  </si>
  <si>
    <t>6.6</t>
  </si>
  <si>
    <t>оплата послуг зв'язку, вивіз ТПВ</t>
  </si>
  <si>
    <t>6.7</t>
  </si>
  <si>
    <t>послуги з технічного обслуговування безпеки котлів</t>
  </si>
  <si>
    <t>6.8</t>
  </si>
  <si>
    <t>послуги з технічного обслуговування газового обладнання</t>
  </si>
  <si>
    <t>6.9</t>
  </si>
  <si>
    <t>послуги з супроводу програмного забезпечення</t>
  </si>
  <si>
    <t>6.10</t>
  </si>
  <si>
    <t>охорона об'єкту</t>
  </si>
  <si>
    <t>6.11</t>
  </si>
  <si>
    <t>оплата послуг з заправки картриджів</t>
  </si>
  <si>
    <t>6.12</t>
  </si>
  <si>
    <t>оплата послуг з відновлення картриджів</t>
  </si>
  <si>
    <t>6.13</t>
  </si>
  <si>
    <t>послуги з консультування комерційної діяльності</t>
  </si>
  <si>
    <t>6.14</t>
  </si>
  <si>
    <t xml:space="preserve">послуги з метрологічної повірки </t>
  </si>
  <si>
    <t>6.15</t>
  </si>
  <si>
    <t>послуги з технічної діагностики ліфта</t>
  </si>
  <si>
    <t>6.16</t>
  </si>
  <si>
    <t xml:space="preserve">за оренду приміщення </t>
  </si>
  <si>
    <t>6.17</t>
  </si>
  <si>
    <t>страхування від пожежі</t>
  </si>
  <si>
    <t>6.18</t>
  </si>
  <si>
    <t>оплата послуг за дератізацію</t>
  </si>
  <si>
    <t>6.19</t>
  </si>
  <si>
    <t>оплата послуг за систему інтернет</t>
  </si>
  <si>
    <t>6.20</t>
  </si>
  <si>
    <t>оплата послуг за обслуговування сайту</t>
  </si>
  <si>
    <t>6.21</t>
  </si>
  <si>
    <t>технічне обслуговування транспортних засобів</t>
  </si>
  <si>
    <t>6.22</t>
  </si>
  <si>
    <t>послуги з підключення до меріжі</t>
  </si>
  <si>
    <t>6.23</t>
  </si>
  <si>
    <t>послуги з перевірки димоходів</t>
  </si>
  <si>
    <t>6.24</t>
  </si>
  <si>
    <t>послуги з підключення МІС</t>
  </si>
  <si>
    <t>6.25</t>
  </si>
  <si>
    <t>послуги з консультацій</t>
  </si>
  <si>
    <t>6.26</t>
  </si>
  <si>
    <t>послуги з монтажу та наладки охоронної сигналізації</t>
  </si>
  <si>
    <t>6.27</t>
  </si>
  <si>
    <t>послуги з консультування ISO</t>
  </si>
  <si>
    <t>6.28</t>
  </si>
  <si>
    <t>послуги з консультування по медліцензії</t>
  </si>
  <si>
    <t>6.29</t>
  </si>
  <si>
    <t>послуги з поточного ремонту ліфта</t>
  </si>
  <si>
    <t>6.30</t>
  </si>
  <si>
    <t>послуги з аудиту</t>
  </si>
  <si>
    <t>7</t>
  </si>
  <si>
    <t>Видатки на відрядження</t>
  </si>
  <si>
    <t>8</t>
  </si>
  <si>
    <t>Оплата комунальних послуг-всього</t>
  </si>
  <si>
    <t>8.1</t>
  </si>
  <si>
    <t>теплопостачання</t>
  </si>
  <si>
    <t>8.2</t>
  </si>
  <si>
    <t>водопостачання</t>
  </si>
  <si>
    <t>8.3</t>
  </si>
  <si>
    <t>електроенергія</t>
  </si>
  <si>
    <t>8.4</t>
  </si>
  <si>
    <t>газопостачання</t>
  </si>
  <si>
    <t>9</t>
  </si>
  <si>
    <t>Окремі заходи по реалізації державних(регіональних) програм, не віднесені до заходів розвитку</t>
  </si>
  <si>
    <t>10</t>
  </si>
  <si>
    <t xml:space="preserve">Соціальне забезпечення </t>
  </si>
  <si>
    <t>10.1</t>
  </si>
  <si>
    <t>виплата пенсій і допомоги</t>
  </si>
  <si>
    <t>10.2</t>
  </si>
  <si>
    <t>інші виплати населенню</t>
  </si>
  <si>
    <t>11</t>
  </si>
  <si>
    <t>Інші поточні видатки</t>
  </si>
  <si>
    <t>ВСЬОГО</t>
  </si>
  <si>
    <t>Директор</t>
  </si>
  <si>
    <t>С.С. Олійник</t>
  </si>
  <si>
    <t>підпис</t>
  </si>
  <si>
    <r>
      <t xml:space="preserve">Звіт про використання бюджетних коштів за  І півріччя 2020 рік (півріччя, 9 місяців, </t>
    </r>
    <r>
      <rPr>
        <b/>
        <u/>
        <sz val="16"/>
        <rFont val="Times New Roman"/>
        <family val="1"/>
        <charset val="204"/>
      </rPr>
      <t>рік</t>
    </r>
    <r>
      <rPr>
        <b/>
        <sz val="16"/>
        <rFont val="Times New Roman"/>
        <family val="1"/>
        <charset val="204"/>
      </rPr>
      <t xml:space="preserve">) </t>
    </r>
    <r>
      <rPr>
        <b/>
        <sz val="16"/>
        <color rgb="FFFF0000"/>
        <rFont val="Times New Roman"/>
        <family val="1"/>
        <charset val="204"/>
      </rPr>
      <t>за рахунок місцевого бюджету</t>
    </r>
  </si>
  <si>
    <r>
      <t xml:space="preserve">Звіт про використання коштів НСЗУ за  І півріччя 2020 рік (півріччя, 9 місяців, </t>
    </r>
    <r>
      <rPr>
        <b/>
        <u/>
        <sz val="16"/>
        <rFont val="Times New Roman"/>
        <family val="1"/>
        <charset val="204"/>
      </rPr>
      <t>рік</t>
    </r>
    <r>
      <rPr>
        <b/>
        <sz val="16"/>
        <rFont val="Times New Roman"/>
        <family val="1"/>
        <charset val="204"/>
      </rPr>
      <t>)</t>
    </r>
    <r>
      <rPr>
        <b/>
        <sz val="16"/>
        <color rgb="FFFF0000"/>
        <rFont val="Times New Roman"/>
        <family val="1"/>
        <charset val="204"/>
      </rPr>
      <t xml:space="preserve"> за рахунок коштів НЗСУ</t>
    </r>
  </si>
</sst>
</file>

<file path=xl/styles.xml><?xml version="1.0" encoding="utf-8"?>
<styleSheet xmlns="http://schemas.openxmlformats.org/spreadsheetml/2006/main">
  <numFmts count="8">
    <numFmt numFmtId="164" formatCode="#,##0.00000"/>
    <numFmt numFmtId="165" formatCode="#,##0.000000"/>
    <numFmt numFmtId="166" formatCode="#,##0.0"/>
    <numFmt numFmtId="167" formatCode="#,##0.0000"/>
    <numFmt numFmtId="168" formatCode="#,##0.000"/>
    <numFmt numFmtId="169" formatCode="#,##0.0000000"/>
    <numFmt numFmtId="170" formatCode="#,##0.00000000"/>
    <numFmt numFmtId="171" formatCode="_-* #,##0.00_р_._-;\-* #,##0.00_р_._-;_-* \-??_р_._-;_-@_-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Bookman Old Style"/>
      <family val="1"/>
      <charset val="204"/>
    </font>
    <font>
      <b/>
      <sz val="11"/>
      <name val="Times New Roman"/>
      <family val="1"/>
      <charset val="204"/>
    </font>
    <font>
      <sz val="12"/>
      <name val="Bookman Old Style"/>
      <family val="1"/>
      <charset val="204"/>
    </font>
    <font>
      <sz val="12"/>
      <name val="Times New Roman"/>
      <family val="1"/>
      <charset val="204"/>
    </font>
    <font>
      <sz val="12"/>
      <color rgb="FFC9211E"/>
      <name val="Times New Roman"/>
      <family val="1"/>
      <charset val="204"/>
    </font>
    <font>
      <sz val="14"/>
      <name val="Arial Cyr"/>
      <charset val="204"/>
    </font>
    <font>
      <b/>
      <sz val="14"/>
      <name val="Bookman Old Style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71" fontId="18" fillId="0" borderId="0" applyBorder="0" applyProtection="0"/>
  </cellStyleXfs>
  <cellXfs count="85">
    <xf numFmtId="0" fontId="0" fillId="0" borderId="0" xfId="0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165" fontId="0" fillId="0" borderId="0" xfId="0" applyNumberFormat="1"/>
    <xf numFmtId="164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  <xf numFmtId="0" fontId="0" fillId="2" borderId="0" xfId="0" applyFill="1"/>
    <xf numFmtId="0" fontId="2" fillId="2" borderId="0" xfId="0" applyFont="1" applyFill="1"/>
    <xf numFmtId="0" fontId="7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left" vertical="center" wrapText="1"/>
    </xf>
    <xf numFmtId="166" fontId="7" fillId="3" borderId="1" xfId="0" applyNumberFormat="1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left" vertical="center" wrapText="1"/>
    </xf>
    <xf numFmtId="166" fontId="11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11" fillId="4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16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8" fontId="7" fillId="3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169" fontId="10" fillId="0" borderId="1" xfId="0" applyNumberFormat="1" applyFont="1" applyBorder="1" applyAlignment="1">
      <alignment horizontal="center" vertical="center"/>
    </xf>
    <xf numFmtId="169" fontId="11" fillId="0" borderId="1" xfId="0" applyNumberFormat="1" applyFont="1" applyBorder="1" applyAlignment="1">
      <alignment horizontal="left" vertical="center" wrapText="1"/>
    </xf>
    <xf numFmtId="169" fontId="0" fillId="0" borderId="0" xfId="0" applyNumberFormat="1"/>
    <xf numFmtId="170" fontId="10" fillId="0" borderId="1" xfId="0" applyNumberFormat="1" applyFont="1" applyBorder="1" applyAlignment="1">
      <alignment horizontal="center" vertical="center"/>
    </xf>
    <xf numFmtId="170" fontId="11" fillId="0" borderId="1" xfId="0" applyNumberFormat="1" applyFont="1" applyBorder="1" applyAlignment="1">
      <alignment horizontal="left" vertical="center" wrapText="1"/>
    </xf>
    <xf numFmtId="170" fontId="0" fillId="0" borderId="0" xfId="0" applyNumberFormat="1"/>
    <xf numFmtId="0" fontId="13" fillId="0" borderId="0" xfId="0" applyFont="1"/>
    <xf numFmtId="166" fontId="7" fillId="3" borderId="1" xfId="1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166" fontId="15" fillId="0" borderId="1" xfId="0" applyNumberFormat="1" applyFont="1" applyBorder="1" applyAlignment="1">
      <alignment horizontal="center" vertical="center"/>
    </xf>
    <xf numFmtId="49" fontId="1" fillId="0" borderId="0" xfId="0" applyNumberFormat="1" applyFont="1"/>
    <xf numFmtId="166" fontId="1" fillId="0" borderId="0" xfId="0" applyNumberFormat="1" applyFont="1"/>
    <xf numFmtId="166" fontId="16" fillId="2" borderId="0" xfId="0" applyNumberFormat="1" applyFont="1" applyFill="1"/>
    <xf numFmtId="166" fontId="1" fillId="2" borderId="0" xfId="0" applyNumberFormat="1" applyFont="1" applyFill="1"/>
    <xf numFmtId="166" fontId="13" fillId="2" borderId="0" xfId="0" applyNumberFormat="1" applyFont="1" applyFill="1"/>
    <xf numFmtId="0" fontId="13" fillId="2" borderId="0" xfId="0" applyFont="1" applyFill="1"/>
    <xf numFmtId="0" fontId="16" fillId="2" borderId="0" xfId="0" applyFont="1" applyFill="1"/>
    <xf numFmtId="0" fontId="16" fillId="0" borderId="0" xfId="0" applyFont="1"/>
    <xf numFmtId="0" fontId="2" fillId="0" borderId="0" xfId="0" applyFont="1"/>
    <xf numFmtId="166" fontId="1" fillId="0" borderId="3" xfId="0" applyNumberFormat="1" applyFont="1" applyBorder="1"/>
    <xf numFmtId="166" fontId="2" fillId="0" borderId="0" xfId="0" applyNumberFormat="1" applyFont="1"/>
    <xf numFmtId="166" fontId="13" fillId="0" borderId="0" xfId="0" applyNumberFormat="1" applyFont="1"/>
    <xf numFmtId="164" fontId="13" fillId="0" borderId="0" xfId="0" applyNumberFormat="1" applyFont="1"/>
    <xf numFmtId="165" fontId="13" fillId="0" borderId="0" xfId="0" applyNumberFormat="1" applyFont="1"/>
    <xf numFmtId="167" fontId="13" fillId="0" borderId="0" xfId="0" applyNumberFormat="1" applyFont="1"/>
    <xf numFmtId="166" fontId="1" fillId="0" borderId="0" xfId="0" applyNumberFormat="1" applyFont="1" applyAlignment="1">
      <alignment horizontal="center" vertical="center"/>
    </xf>
    <xf numFmtId="168" fontId="1" fillId="2" borderId="0" xfId="0" applyNumberFormat="1" applyFont="1" applyFill="1"/>
    <xf numFmtId="166" fontId="17" fillId="0" borderId="0" xfId="0" applyNumberFormat="1" applyFont="1"/>
    <xf numFmtId="0" fontId="0" fillId="0" borderId="0" xfId="0" applyFont="1"/>
    <xf numFmtId="166" fontId="0" fillId="0" borderId="0" xfId="0" applyNumberFormat="1" applyFont="1"/>
    <xf numFmtId="166" fontId="0" fillId="0" borderId="0" xfId="0" applyNumberFormat="1"/>
    <xf numFmtId="164" fontId="12" fillId="0" borderId="1" xfId="0" applyNumberFormat="1" applyFont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9" fontId="7" fillId="3" borderId="1" xfId="0" applyNumberFormat="1" applyFont="1" applyFill="1" applyBorder="1" applyAlignment="1">
      <alignment horizontal="center" vertical="center"/>
    </xf>
    <xf numFmtId="169" fontId="11" fillId="2" borderId="1" xfId="0" applyNumberFormat="1" applyFont="1" applyFill="1" applyBorder="1" applyAlignment="1">
      <alignment horizontal="center" vertical="center"/>
    </xf>
    <xf numFmtId="170" fontId="11" fillId="2" borderId="1" xfId="0" applyNumberFormat="1" applyFont="1" applyFill="1" applyBorder="1" applyAlignment="1">
      <alignment horizontal="center" vertical="center"/>
    </xf>
    <xf numFmtId="170" fontId="11" fillId="0" borderId="1" xfId="0" applyNumberFormat="1" applyFont="1" applyBorder="1" applyAlignment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169" fontId="11" fillId="4" borderId="1" xfId="0" applyNumberFormat="1" applyFont="1" applyFill="1" applyBorder="1" applyAlignment="1">
      <alignment horizontal="center" vertical="center"/>
    </xf>
    <xf numFmtId="167" fontId="11" fillId="4" borderId="1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167" fontId="1" fillId="0" borderId="0" xfId="0" applyNumberFormat="1" applyFont="1"/>
    <xf numFmtId="0" fontId="1" fillId="0" borderId="3" xfId="0" applyFont="1" applyBorder="1"/>
    <xf numFmtId="3" fontId="13" fillId="0" borderId="0" xfId="0" applyNumberFormat="1" applyFont="1"/>
    <xf numFmtId="0" fontId="1" fillId="0" borderId="0" xfId="0" applyFont="1" applyAlignment="1">
      <alignment horizontal="center" vertical="center"/>
    </xf>
    <xf numFmtId="164" fontId="17" fillId="0" borderId="0" xfId="0" applyNumberFormat="1" applyFont="1"/>
    <xf numFmtId="4" fontId="15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C214"/>
  <sheetViews>
    <sheetView tabSelected="1" zoomScale="68" zoomScaleNormal="68" workbookViewId="0">
      <pane xSplit="9" ySplit="12" topLeftCell="P84" activePane="bottomRight" state="frozen"/>
      <selection pane="topRight" activeCell="J1" sqref="J1"/>
      <selection pane="bottomLeft" activeCell="A81" sqref="A81"/>
      <selection pane="bottomRight" activeCell="A2" sqref="A2:AC2"/>
    </sheetView>
  </sheetViews>
  <sheetFormatPr defaultColWidth="8.7109375" defaultRowHeight="12.75"/>
  <cols>
    <col min="1" max="1" width="9.5703125" customWidth="1"/>
    <col min="2" max="2" width="26.42578125" customWidth="1"/>
    <col min="3" max="3" width="22.140625" customWidth="1"/>
    <col min="4" max="4" width="23.28515625" customWidth="1"/>
    <col min="5" max="5" width="12.28515625" customWidth="1"/>
    <col min="6" max="6" width="19.85546875" customWidth="1"/>
    <col min="7" max="7" width="17.42578125" customWidth="1"/>
    <col min="8" max="8" width="17" customWidth="1"/>
    <col min="9" max="9" width="21.42578125" customWidth="1"/>
    <col min="10" max="10" width="19.5703125" customWidth="1"/>
    <col min="11" max="11" width="23.42578125" customWidth="1"/>
    <col min="12" max="12" width="13" customWidth="1"/>
    <col min="13" max="13" width="15.7109375" customWidth="1"/>
    <col min="14" max="14" width="13.85546875" customWidth="1"/>
    <col min="15" max="15" width="15.85546875" customWidth="1"/>
    <col min="16" max="16" width="14.140625" customWidth="1"/>
    <col min="17" max="17" width="15.7109375" customWidth="1"/>
    <col min="18" max="18" width="16" customWidth="1"/>
    <col min="19" max="21" width="14.140625" customWidth="1"/>
    <col min="22" max="22" width="13.28515625" customWidth="1"/>
    <col min="23" max="23" width="15.140625" customWidth="1"/>
    <col min="24" max="24" width="12.42578125" customWidth="1"/>
    <col min="25" max="25" width="13.140625" customWidth="1"/>
    <col min="26" max="26" width="12.42578125" customWidth="1"/>
    <col min="27" max="28" width="14.140625" customWidth="1"/>
    <col min="29" max="29" width="15.140625" customWidth="1"/>
  </cols>
  <sheetData>
    <row r="1" spans="1:29" ht="18.75">
      <c r="A1" s="7"/>
      <c r="B1" s="7"/>
      <c r="C1" s="7"/>
      <c r="D1" s="7"/>
      <c r="E1" s="7">
        <f>G1-F1</f>
        <v>0</v>
      </c>
      <c r="F1" s="8">
        <v>8659.27</v>
      </c>
      <c r="G1" s="7">
        <f>G9+I9+K9</f>
        <v>8659.27</v>
      </c>
      <c r="H1" s="8"/>
      <c r="I1" s="7"/>
      <c r="U1" s="9"/>
      <c r="V1" s="9"/>
      <c r="W1" s="10"/>
      <c r="Y1" s="10"/>
      <c r="AB1" s="6" t="s">
        <v>0</v>
      </c>
      <c r="AC1" s="6"/>
    </row>
    <row r="2" spans="1:29" ht="20.25">
      <c r="A2" s="5" t="s">
        <v>164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.75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s="13" customFormat="1" ht="15" customHeight="1">
      <c r="A5" s="11"/>
      <c r="B5" s="11"/>
      <c r="C5" s="12"/>
      <c r="D5" s="12"/>
      <c r="E5" s="11"/>
      <c r="F5" s="11"/>
      <c r="G5" s="11"/>
      <c r="H5" s="11"/>
      <c r="I5" s="11"/>
      <c r="J5" s="11"/>
      <c r="Q5" s="14"/>
      <c r="S5" s="14"/>
      <c r="U5" s="14"/>
      <c r="W5" s="14"/>
      <c r="Y5" s="14"/>
      <c r="AA5" s="14"/>
      <c r="AC5" s="14" t="s">
        <v>3</v>
      </c>
    </row>
    <row r="6" spans="1:29" ht="15.75">
      <c r="A6" s="2" t="s">
        <v>4</v>
      </c>
      <c r="B6" s="2" t="s">
        <v>5</v>
      </c>
      <c r="C6" s="2" t="s">
        <v>6</v>
      </c>
      <c r="D6" s="2"/>
      <c r="E6" s="2"/>
      <c r="F6" s="1" t="s">
        <v>7</v>
      </c>
      <c r="G6" s="1"/>
      <c r="H6" s="1"/>
      <c r="I6" s="1"/>
      <c r="J6" s="1"/>
      <c r="K6" s="1"/>
      <c r="L6" s="1" t="s">
        <v>7</v>
      </c>
      <c r="M6" s="1"/>
      <c r="N6" s="1"/>
      <c r="O6" s="1"/>
      <c r="P6" s="1"/>
      <c r="Q6" s="1"/>
      <c r="R6" s="1" t="s">
        <v>7</v>
      </c>
      <c r="S6" s="1"/>
      <c r="T6" s="1"/>
      <c r="U6" s="1"/>
      <c r="V6" s="1"/>
      <c r="W6" s="1"/>
      <c r="X6" s="1" t="s">
        <v>7</v>
      </c>
      <c r="Y6" s="1"/>
      <c r="Z6" s="1"/>
      <c r="AA6" s="1"/>
      <c r="AB6" s="1"/>
      <c r="AC6" s="1"/>
    </row>
    <row r="7" spans="1:29" ht="15.75">
      <c r="A7" s="2"/>
      <c r="B7" s="2"/>
      <c r="C7" s="2"/>
      <c r="D7" s="2"/>
      <c r="E7" s="2"/>
      <c r="F7" s="2" t="s">
        <v>8</v>
      </c>
      <c r="G7" s="2"/>
      <c r="H7" s="2" t="s">
        <v>9</v>
      </c>
      <c r="I7" s="2"/>
      <c r="J7" s="2" t="s">
        <v>10</v>
      </c>
      <c r="K7" s="2"/>
      <c r="L7" s="2" t="s">
        <v>11</v>
      </c>
      <c r="M7" s="2"/>
      <c r="N7" s="2" t="s">
        <v>12</v>
      </c>
      <c r="O7" s="2"/>
      <c r="P7" s="2" t="s">
        <v>13</v>
      </c>
      <c r="Q7" s="2"/>
      <c r="R7" s="2" t="s">
        <v>14</v>
      </c>
      <c r="S7" s="2"/>
      <c r="T7" s="2" t="s">
        <v>15</v>
      </c>
      <c r="U7" s="2"/>
      <c r="V7" s="2" t="s">
        <v>16</v>
      </c>
      <c r="W7" s="2"/>
      <c r="X7" s="2" t="s">
        <v>17</v>
      </c>
      <c r="Y7" s="2"/>
      <c r="Z7" s="2" t="s">
        <v>18</v>
      </c>
      <c r="AA7" s="2"/>
      <c r="AB7" s="2" t="s">
        <v>19</v>
      </c>
      <c r="AC7" s="2"/>
    </row>
    <row r="8" spans="1:29" ht="15.75">
      <c r="A8" s="2"/>
      <c r="B8" s="2"/>
      <c r="C8" s="15" t="s">
        <v>20</v>
      </c>
      <c r="D8" s="15" t="s">
        <v>21</v>
      </c>
      <c r="E8" s="15" t="s">
        <v>22</v>
      </c>
      <c r="F8" s="15" t="s">
        <v>20</v>
      </c>
      <c r="G8" s="15" t="s">
        <v>21</v>
      </c>
      <c r="H8" s="15" t="s">
        <v>20</v>
      </c>
      <c r="I8" s="15" t="s">
        <v>21</v>
      </c>
      <c r="J8" s="15" t="s">
        <v>20</v>
      </c>
      <c r="K8" s="15" t="s">
        <v>21</v>
      </c>
      <c r="L8" s="15" t="s">
        <v>20</v>
      </c>
      <c r="M8" s="15" t="s">
        <v>21</v>
      </c>
      <c r="N8" s="15" t="s">
        <v>20</v>
      </c>
      <c r="O8" s="15" t="s">
        <v>21</v>
      </c>
      <c r="P8" s="15" t="s">
        <v>20</v>
      </c>
      <c r="Q8" s="15" t="s">
        <v>21</v>
      </c>
      <c r="R8" s="15" t="s">
        <v>20</v>
      </c>
      <c r="S8" s="15" t="s">
        <v>21</v>
      </c>
      <c r="T8" s="15" t="s">
        <v>20</v>
      </c>
      <c r="U8" s="15" t="s">
        <v>21</v>
      </c>
      <c r="V8" s="15" t="s">
        <v>20</v>
      </c>
      <c r="W8" s="15" t="s">
        <v>21</v>
      </c>
      <c r="X8" s="15" t="s">
        <v>20</v>
      </c>
      <c r="Y8" s="15" t="s">
        <v>21</v>
      </c>
      <c r="Z8" s="15" t="s">
        <v>20</v>
      </c>
      <c r="AA8" s="15" t="s">
        <v>21</v>
      </c>
      <c r="AB8" s="15" t="s">
        <v>20</v>
      </c>
      <c r="AC8" s="15" t="s">
        <v>21</v>
      </c>
    </row>
    <row r="9" spans="1:29" s="10" customFormat="1" ht="21.95" customHeight="1">
      <c r="A9" s="16">
        <v>1</v>
      </c>
      <c r="B9" s="17" t="s">
        <v>23</v>
      </c>
      <c r="C9" s="18">
        <f t="shared" ref="C9:D11" si="0">F9+H9+J9+L9+N9+P9+R9+T9+V9+X9+Z9+AB9</f>
        <v>13556.746560000001</v>
      </c>
      <c r="D9" s="18">
        <f t="shared" si="0"/>
        <v>11216.035040000002</v>
      </c>
      <c r="E9" s="18">
        <f>D9/C9*100</f>
        <v>82.733973010114312</v>
      </c>
      <c r="F9" s="18">
        <v>2952.86429</v>
      </c>
      <c r="G9" s="18">
        <v>2816.6610000000001</v>
      </c>
      <c r="H9" s="18">
        <v>2879.3322699999999</v>
      </c>
      <c r="I9" s="18">
        <v>2813.299</v>
      </c>
      <c r="J9" s="18">
        <v>3013.107</v>
      </c>
      <c r="K9" s="18">
        <v>3029.31</v>
      </c>
      <c r="L9" s="18">
        <v>2105.58</v>
      </c>
      <c r="M9" s="18">
        <v>714.87324999999998</v>
      </c>
      <c r="N9" s="18">
        <v>1310.6189999999999</v>
      </c>
      <c r="O9" s="18">
        <v>1053.6174100000001</v>
      </c>
      <c r="P9" s="18">
        <v>1295.2439999999999</v>
      </c>
      <c r="Q9" s="18">
        <v>788.27437999999995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s="10" customFormat="1" ht="33" customHeight="1">
      <c r="A10" s="16">
        <v>2</v>
      </c>
      <c r="B10" s="17" t="s">
        <v>24</v>
      </c>
      <c r="C10" s="18">
        <f t="shared" si="0"/>
        <v>2940.7354600000003</v>
      </c>
      <c r="D10" s="18">
        <f t="shared" si="0"/>
        <v>2405.3354199999999</v>
      </c>
      <c r="E10" s="18">
        <f>D10/C10*100</f>
        <v>81.793668717144641</v>
      </c>
      <c r="F10" s="18">
        <v>640.75099</v>
      </c>
      <c r="G10" s="18">
        <v>605.37938999999994</v>
      </c>
      <c r="H10" s="18">
        <v>624.89047000000005</v>
      </c>
      <c r="I10" s="18">
        <v>608.76894000000004</v>
      </c>
      <c r="J10" s="18">
        <v>656.92600000000004</v>
      </c>
      <c r="K10" s="18">
        <v>639.85203000000001</v>
      </c>
      <c r="L10" s="18">
        <v>449.178</v>
      </c>
      <c r="M10" s="18">
        <v>162.61372</v>
      </c>
      <c r="N10" s="18">
        <v>286.15300000000002</v>
      </c>
      <c r="O10" s="18">
        <v>218.79782</v>
      </c>
      <c r="P10" s="18">
        <v>282.83699999999999</v>
      </c>
      <c r="Q10" s="18">
        <v>169.92352</v>
      </c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s="10" customFormat="1" ht="45" customHeight="1">
      <c r="A11" s="16">
        <v>3</v>
      </c>
      <c r="B11" s="17" t="s">
        <v>25</v>
      </c>
      <c r="C11" s="18">
        <f t="shared" si="0"/>
        <v>660.36699999999996</v>
      </c>
      <c r="D11" s="18">
        <f t="shared" si="0"/>
        <v>505.03695000000005</v>
      </c>
      <c r="E11" s="18">
        <f>D11/C11*100</f>
        <v>76.478223472705338</v>
      </c>
      <c r="F11" s="18">
        <f t="shared" ref="F11:Q11" si="1">SUM(F14:F26)</f>
        <v>81.835999999999999</v>
      </c>
      <c r="G11" s="19">
        <f t="shared" si="1"/>
        <v>75.823999999999998</v>
      </c>
      <c r="H11" s="18">
        <f t="shared" si="1"/>
        <v>79.699999999999989</v>
      </c>
      <c r="I11" s="20">
        <f t="shared" si="1"/>
        <v>53.1295</v>
      </c>
      <c r="J11" s="18">
        <f t="shared" si="1"/>
        <v>229.566</v>
      </c>
      <c r="K11" s="20">
        <f t="shared" si="1"/>
        <v>73.786999999999992</v>
      </c>
      <c r="L11" s="18">
        <f t="shared" si="1"/>
        <v>219.68</v>
      </c>
      <c r="M11" s="19">
        <f t="shared" si="1"/>
        <v>154.58000000000001</v>
      </c>
      <c r="N11" s="18">
        <f t="shared" si="1"/>
        <v>24.298999999999999</v>
      </c>
      <c r="O11" s="20">
        <f t="shared" si="1"/>
        <v>147.71644999999998</v>
      </c>
      <c r="P11" s="18">
        <f t="shared" si="1"/>
        <v>25.286000000000001</v>
      </c>
      <c r="Q11" s="18">
        <f t="shared" si="1"/>
        <v>0</v>
      </c>
      <c r="R11" s="18">
        <f>SUM(R14:R22)</f>
        <v>0</v>
      </c>
      <c r="S11" s="18">
        <f>SUM(S14:S26)</f>
        <v>0</v>
      </c>
      <c r="T11" s="18">
        <f>SUM(T14:T22)</f>
        <v>0</v>
      </c>
      <c r="U11" s="18">
        <f>SUM(U14:U26)</f>
        <v>0</v>
      </c>
      <c r="V11" s="18">
        <f t="shared" ref="V11:AC11" si="2">SUM(V14:V22)</f>
        <v>0</v>
      </c>
      <c r="W11" s="18">
        <f t="shared" si="2"/>
        <v>0</v>
      </c>
      <c r="X11" s="18">
        <f t="shared" si="2"/>
        <v>0</v>
      </c>
      <c r="Y11" s="18">
        <f t="shared" si="2"/>
        <v>0</v>
      </c>
      <c r="Z11" s="18">
        <f t="shared" si="2"/>
        <v>0</v>
      </c>
      <c r="AA11" s="18">
        <f t="shared" si="2"/>
        <v>0</v>
      </c>
      <c r="AB11" s="18">
        <f t="shared" si="2"/>
        <v>0</v>
      </c>
      <c r="AC11" s="18">
        <f t="shared" si="2"/>
        <v>0</v>
      </c>
    </row>
    <row r="12" spans="1:29" s="10" customFormat="1" ht="35.1" hidden="1" customHeight="1">
      <c r="A12" s="21"/>
      <c r="B12" s="22" t="s">
        <v>26</v>
      </c>
      <c r="C12" s="23">
        <f>F12+H12+J12</f>
        <v>391.10199999999998</v>
      </c>
      <c r="D12" s="23">
        <f>G12+I12+K12</f>
        <v>202.7405</v>
      </c>
      <c r="E12" s="23"/>
      <c r="F12" s="24">
        <v>81.835999999999999</v>
      </c>
      <c r="G12" s="25">
        <v>75.823999999999998</v>
      </c>
      <c r="H12" s="24">
        <v>79.7</v>
      </c>
      <c r="I12" s="25">
        <v>53.1295</v>
      </c>
      <c r="J12" s="24">
        <v>229.566</v>
      </c>
      <c r="K12" s="25">
        <v>73.787000000000006</v>
      </c>
      <c r="L12" s="23">
        <v>219.68</v>
      </c>
      <c r="M12" s="23">
        <v>154.58000000000001</v>
      </c>
      <c r="N12" s="23">
        <v>24.298999999999999</v>
      </c>
      <c r="O12" s="23">
        <v>147.71645000000001</v>
      </c>
      <c r="P12" s="23">
        <v>25.286000000000001</v>
      </c>
      <c r="Q12" s="23">
        <v>0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s="10" customFormat="1" ht="30.75" hidden="1" customHeight="1">
      <c r="A13" s="21"/>
      <c r="B13" s="22"/>
      <c r="C13" s="23"/>
      <c r="D13" s="23">
        <f t="shared" ref="D13:R13" si="3">D12-D11</f>
        <v>-302.29645000000005</v>
      </c>
      <c r="E13" s="23">
        <f t="shared" si="3"/>
        <v>-76.478223472705338</v>
      </c>
      <c r="F13" s="23">
        <f t="shared" si="3"/>
        <v>0</v>
      </c>
      <c r="G13" s="23">
        <f t="shared" si="3"/>
        <v>0</v>
      </c>
      <c r="H13" s="23">
        <f t="shared" si="3"/>
        <v>0</v>
      </c>
      <c r="I13" s="23">
        <f t="shared" si="3"/>
        <v>0</v>
      </c>
      <c r="J13" s="23">
        <f t="shared" si="3"/>
        <v>0</v>
      </c>
      <c r="K13" s="23">
        <f t="shared" si="3"/>
        <v>0</v>
      </c>
      <c r="L13" s="23">
        <f t="shared" si="3"/>
        <v>0</v>
      </c>
      <c r="M13" s="23">
        <f t="shared" si="3"/>
        <v>0</v>
      </c>
      <c r="N13" s="23">
        <f t="shared" si="3"/>
        <v>0</v>
      </c>
      <c r="O13" s="26">
        <f t="shared" si="3"/>
        <v>0</v>
      </c>
      <c r="P13" s="23">
        <f t="shared" si="3"/>
        <v>0</v>
      </c>
      <c r="Q13" s="27">
        <f t="shared" si="3"/>
        <v>0</v>
      </c>
      <c r="R13" s="27">
        <f t="shared" si="3"/>
        <v>0</v>
      </c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45" customHeight="1">
      <c r="A14" s="28" t="s">
        <v>27</v>
      </c>
      <c r="B14" s="29" t="s">
        <v>28</v>
      </c>
      <c r="C14" s="25">
        <f t="shared" ref="C14:C27" si="4">F14+H14+J14+L14+N14+P14+R14+T14+V14+X14+Z14+AB14</f>
        <v>97.208500000000001</v>
      </c>
      <c r="D14" s="25">
        <f t="shared" ref="D14:D27" si="5">G14+I14+K14+M14+O14+Q14+S14+U14+W14+Y14+AA14+AC14</f>
        <v>97.197999999999993</v>
      </c>
      <c r="E14" s="25">
        <f t="shared" ref="E14:E27" si="6">D14/C14*100</f>
        <v>99.989198475441952</v>
      </c>
      <c r="F14" s="25">
        <v>20.754000000000001</v>
      </c>
      <c r="G14" s="25">
        <v>20.754000000000001</v>
      </c>
      <c r="H14" s="25">
        <f>20.754-0.0385</f>
        <v>20.715500000000002</v>
      </c>
      <c r="I14" s="25">
        <f>20.754-0.02</f>
        <v>20.734000000000002</v>
      </c>
      <c r="J14" s="25">
        <f>32.916+0.035</f>
        <v>32.950999999999993</v>
      </c>
      <c r="K14" s="25">
        <f>32.916+0.006</f>
        <v>32.921999999999997</v>
      </c>
      <c r="L14" s="25"/>
      <c r="M14" s="25"/>
      <c r="N14" s="25">
        <f>O14</f>
        <v>22.788</v>
      </c>
      <c r="O14" s="25">
        <v>22.788</v>
      </c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29" ht="15.75">
      <c r="A15" s="28" t="s">
        <v>29</v>
      </c>
      <c r="B15" s="29" t="s">
        <v>30</v>
      </c>
      <c r="C15" s="25">
        <f t="shared" si="4"/>
        <v>15</v>
      </c>
      <c r="D15" s="25">
        <f t="shared" si="5"/>
        <v>0</v>
      </c>
      <c r="E15" s="25">
        <f t="shared" si="6"/>
        <v>0</v>
      </c>
      <c r="F15" s="25"/>
      <c r="G15" s="25"/>
      <c r="H15" s="25"/>
      <c r="I15" s="25"/>
      <c r="J15" s="25">
        <v>15</v>
      </c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29" ht="15.75">
      <c r="A16" s="28" t="s">
        <v>31</v>
      </c>
      <c r="B16" s="29" t="s">
        <v>32</v>
      </c>
      <c r="C16" s="25">
        <f t="shared" si="4"/>
        <v>205.24799999999999</v>
      </c>
      <c r="D16" s="25">
        <f t="shared" si="5"/>
        <v>117.35894999999999</v>
      </c>
      <c r="E16" s="25">
        <f t="shared" si="6"/>
        <v>57.179095533208603</v>
      </c>
      <c r="F16" s="25">
        <f>4.021-0.009+2</f>
        <v>6.0119999999999996</v>
      </c>
      <c r="G16" s="25"/>
      <c r="H16" s="25">
        <v>0.7</v>
      </c>
      <c r="I16" s="25">
        <v>0.7</v>
      </c>
      <c r="J16" s="25">
        <v>108.15</v>
      </c>
      <c r="K16" s="25"/>
      <c r="L16" s="25">
        <v>65.099999999999994</v>
      </c>
      <c r="M16" s="25"/>
      <c r="N16" s="25"/>
      <c r="O16" s="25">
        <f>17.97+36.36225+18.918+12.583+30.8257</f>
        <v>116.65894999999999</v>
      </c>
      <c r="P16" s="25">
        <v>25.286000000000001</v>
      </c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ht="15.75">
      <c r="A17" s="28" t="s">
        <v>33</v>
      </c>
      <c r="B17" s="29" t="s">
        <v>34</v>
      </c>
      <c r="C17" s="25">
        <f t="shared" si="4"/>
        <v>30.1785</v>
      </c>
      <c r="D17" s="25">
        <f t="shared" si="5"/>
        <v>12.937000000000001</v>
      </c>
      <c r="E17" s="25">
        <f t="shared" si="6"/>
        <v>42.868267143827566</v>
      </c>
      <c r="F17" s="25"/>
      <c r="G17" s="25"/>
      <c r="H17" s="25">
        <v>4.6675000000000004</v>
      </c>
      <c r="I17" s="25">
        <v>4.6675000000000004</v>
      </c>
      <c r="J17" s="25">
        <v>24</v>
      </c>
      <c r="K17" s="25"/>
      <c r="L17" s="25"/>
      <c r="M17" s="25"/>
      <c r="N17" s="25">
        <v>1.5109999999999999</v>
      </c>
      <c r="O17" s="25">
        <f>3.2395+5.03</f>
        <v>8.2695000000000007</v>
      </c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ht="31.5">
      <c r="A18" s="28" t="s">
        <v>35</v>
      </c>
      <c r="B18" s="29" t="s">
        <v>36</v>
      </c>
      <c r="C18" s="25">
        <f t="shared" si="4"/>
        <v>6.5</v>
      </c>
      <c r="D18" s="25">
        <f t="shared" si="5"/>
        <v>0</v>
      </c>
      <c r="E18" s="25">
        <f t="shared" si="6"/>
        <v>0</v>
      </c>
      <c r="F18" s="25"/>
      <c r="G18" s="25"/>
      <c r="H18" s="25"/>
      <c r="I18" s="25"/>
      <c r="J18" s="25">
        <v>6.5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ht="15.75">
      <c r="A19" s="28" t="s">
        <v>37</v>
      </c>
      <c r="B19" s="29" t="s">
        <v>38</v>
      </c>
      <c r="C19" s="25">
        <f t="shared" si="4"/>
        <v>20</v>
      </c>
      <c r="D19" s="25">
        <f t="shared" si="5"/>
        <v>0</v>
      </c>
      <c r="E19" s="25">
        <f t="shared" si="6"/>
        <v>0</v>
      </c>
      <c r="F19" s="25"/>
      <c r="G19" s="25"/>
      <c r="H19" s="25">
        <v>20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15.75">
      <c r="A20" s="28" t="s">
        <v>39</v>
      </c>
      <c r="B20" s="29" t="s">
        <v>40</v>
      </c>
      <c r="C20" s="25">
        <f t="shared" si="4"/>
        <v>5</v>
      </c>
      <c r="D20" s="25">
        <f t="shared" si="5"/>
        <v>5</v>
      </c>
      <c r="E20" s="25">
        <f t="shared" si="6"/>
        <v>100</v>
      </c>
      <c r="F20" s="25"/>
      <c r="G20" s="25"/>
      <c r="H20" s="25"/>
      <c r="I20" s="25"/>
      <c r="J20" s="25"/>
      <c r="K20" s="25"/>
      <c r="L20" s="25">
        <v>5</v>
      </c>
      <c r="M20" s="25">
        <v>5</v>
      </c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31.5">
      <c r="A21" s="28" t="s">
        <v>41</v>
      </c>
      <c r="B21" s="29" t="s">
        <v>42</v>
      </c>
      <c r="C21" s="25">
        <f t="shared" si="4"/>
        <v>15.628</v>
      </c>
      <c r="D21" s="25">
        <f t="shared" si="5"/>
        <v>15.628</v>
      </c>
      <c r="E21" s="25">
        <f t="shared" si="6"/>
        <v>100</v>
      </c>
      <c r="F21" s="25"/>
      <c r="G21" s="25"/>
      <c r="H21" s="25">
        <f>3.532+3.9+3.456+4.74</f>
        <v>15.628</v>
      </c>
      <c r="I21" s="25">
        <f>3.532+3.9+3.456+4.74</f>
        <v>15.628</v>
      </c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31.5">
      <c r="A22" s="28" t="s">
        <v>43</v>
      </c>
      <c r="B22" s="29" t="s">
        <v>44</v>
      </c>
      <c r="C22" s="25">
        <f t="shared" si="4"/>
        <v>30.474999999999998</v>
      </c>
      <c r="D22" s="25">
        <f t="shared" si="5"/>
        <v>30.474999999999998</v>
      </c>
      <c r="E22" s="25">
        <f t="shared" si="6"/>
        <v>100</v>
      </c>
      <c r="F22" s="25"/>
      <c r="G22" s="25"/>
      <c r="H22" s="25">
        <v>5.86</v>
      </c>
      <c r="I22" s="25">
        <v>5.86</v>
      </c>
      <c r="J22" s="25">
        <v>24.614999999999998</v>
      </c>
      <c r="K22" s="25">
        <v>24.614999999999998</v>
      </c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15.75">
      <c r="A23" s="28" t="s">
        <v>45</v>
      </c>
      <c r="B23" s="29" t="s">
        <v>46</v>
      </c>
      <c r="C23" s="25">
        <f t="shared" si="4"/>
        <v>100.94</v>
      </c>
      <c r="D23" s="25">
        <f t="shared" si="5"/>
        <v>100.94</v>
      </c>
      <c r="E23" s="25">
        <f t="shared" si="6"/>
        <v>100</v>
      </c>
      <c r="F23" s="25">
        <v>55.07</v>
      </c>
      <c r="G23" s="25">
        <v>55.07</v>
      </c>
      <c r="H23" s="25">
        <v>4.4400000000000004</v>
      </c>
      <c r="I23" s="25">
        <v>4.4400000000000004</v>
      </c>
      <c r="J23" s="25"/>
      <c r="K23" s="25"/>
      <c r="L23" s="25">
        <v>41.43</v>
      </c>
      <c r="M23" s="25">
        <v>41.43</v>
      </c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31.5">
      <c r="A24" s="28" t="s">
        <v>47</v>
      </c>
      <c r="B24" s="29" t="s">
        <v>48</v>
      </c>
      <c r="C24" s="25">
        <f t="shared" si="4"/>
        <v>133.089</v>
      </c>
      <c r="D24" s="25">
        <f t="shared" si="5"/>
        <v>124.4</v>
      </c>
      <c r="E24" s="25">
        <f t="shared" si="6"/>
        <v>93.471286131836592</v>
      </c>
      <c r="F24" s="25"/>
      <c r="G24" s="25"/>
      <c r="H24" s="25">
        <f>16.2-9.611</f>
        <v>6.5889999999999986</v>
      </c>
      <c r="I24" s="25"/>
      <c r="J24" s="25">
        <f>1.01+6.58+6.6+2.06+2.1</f>
        <v>18.350000000000001</v>
      </c>
      <c r="K24" s="25">
        <f>1.01+6.58+6.6+2.06</f>
        <v>16.25</v>
      </c>
      <c r="L24" s="25">
        <v>108.15</v>
      </c>
      <c r="M24" s="25">
        <v>108.15</v>
      </c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15.75">
      <c r="A25" s="28" t="s">
        <v>47</v>
      </c>
      <c r="B25" s="29" t="s">
        <v>49</v>
      </c>
      <c r="C25" s="25">
        <f t="shared" si="4"/>
        <v>1.1000000000000001</v>
      </c>
      <c r="D25" s="25">
        <f t="shared" si="5"/>
        <v>1.1000000000000001</v>
      </c>
      <c r="E25" s="25">
        <f t="shared" si="6"/>
        <v>100</v>
      </c>
      <c r="F25" s="25"/>
      <c r="G25" s="25"/>
      <c r="H25" s="25">
        <v>1.1000000000000001</v>
      </c>
      <c r="I25" s="25">
        <v>1.1000000000000001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ht="15.75">
      <c r="A26" s="28" t="s">
        <v>50</v>
      </c>
      <c r="B26" s="29" t="s">
        <v>51</v>
      </c>
      <c r="C26" s="25">
        <f t="shared" si="4"/>
        <v>0</v>
      </c>
      <c r="D26" s="25">
        <f t="shared" si="5"/>
        <v>0</v>
      </c>
      <c r="E26" s="25" t="e">
        <f t="shared" si="6"/>
        <v>#DIV/0!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ht="54" customHeight="1">
      <c r="A27" s="30" t="s">
        <v>52</v>
      </c>
      <c r="B27" s="31" t="s">
        <v>53</v>
      </c>
      <c r="C27" s="18">
        <f t="shared" si="4"/>
        <v>1790.4079999999999</v>
      </c>
      <c r="D27" s="18">
        <f t="shared" si="5"/>
        <v>1724.8289099999993</v>
      </c>
      <c r="E27" s="18">
        <f t="shared" si="6"/>
        <v>96.337198560328105</v>
      </c>
      <c r="F27" s="18">
        <f t="shared" ref="F27:O27" si="7">SUM(F30:F40)</f>
        <v>194.88299999999998</v>
      </c>
      <c r="G27" s="18">
        <f t="shared" si="7"/>
        <v>0</v>
      </c>
      <c r="H27" s="18">
        <f t="shared" si="7"/>
        <v>202.62599999999998</v>
      </c>
      <c r="I27" s="18">
        <f t="shared" si="7"/>
        <v>56.586959999999998</v>
      </c>
      <c r="J27" s="18">
        <f t="shared" si="7"/>
        <v>1189.9846600000001</v>
      </c>
      <c r="K27" s="18">
        <f t="shared" si="7"/>
        <v>389.12703999999997</v>
      </c>
      <c r="L27" s="32">
        <f t="shared" si="7"/>
        <v>136.40534</v>
      </c>
      <c r="M27" s="18">
        <f t="shared" si="7"/>
        <v>1136.3639299999998</v>
      </c>
      <c r="N27" s="18">
        <f t="shared" si="7"/>
        <v>23.734999999999999</v>
      </c>
      <c r="O27" s="18">
        <f t="shared" si="7"/>
        <v>133.4119</v>
      </c>
      <c r="P27" s="18">
        <f>SUM(P30:P39)</f>
        <v>42.774000000000001</v>
      </c>
      <c r="Q27" s="18">
        <f>SUM(Q30:Q39)-0.00005</f>
        <v>9.3392800000000005</v>
      </c>
      <c r="R27" s="18">
        <f>SUM(R30:R39)</f>
        <v>0</v>
      </c>
      <c r="S27" s="18">
        <f>SUM(S30:S39)</f>
        <v>0</v>
      </c>
      <c r="T27" s="18">
        <f>SUM(T30:T39)</f>
        <v>0</v>
      </c>
      <c r="U27" s="18">
        <f>SUM(U30:U39)</f>
        <v>0</v>
      </c>
      <c r="V27" s="18">
        <f>SUM(V30:V39)</f>
        <v>0</v>
      </c>
      <c r="W27" s="18">
        <f>SUM(W30:W39)-0.00005</f>
        <v>-5.0000000000000002E-5</v>
      </c>
      <c r="X27" s="18">
        <f>SUM(X30:X39)</f>
        <v>0</v>
      </c>
      <c r="Y27" s="18">
        <f>SUM(Y30:Y39)-0.00005</f>
        <v>-5.0000000000000002E-5</v>
      </c>
      <c r="Z27" s="18">
        <f>SUM(Z30:Z39)</f>
        <v>0</v>
      </c>
      <c r="AA27" s="18">
        <f>SUM(AA30:AA39)-0.00005</f>
        <v>-5.0000000000000002E-5</v>
      </c>
      <c r="AB27" s="18">
        <f>SUM(AB30:AB39)</f>
        <v>0</v>
      </c>
      <c r="AC27" s="18">
        <f>SUM(AC30:AC39)-0.00005</f>
        <v>-5.0000000000000002E-5</v>
      </c>
    </row>
    <row r="28" spans="1:29" ht="39.6" hidden="1" customHeight="1">
      <c r="A28" s="28"/>
      <c r="B28" s="29" t="s">
        <v>26</v>
      </c>
      <c r="C28" s="23">
        <f>F28+H28+J28</f>
        <v>1587.4936600000001</v>
      </c>
      <c r="D28" s="33">
        <f>G28+I28+K28+M28+O28+Q28+S28+U28+W28</f>
        <v>1724.8290999999999</v>
      </c>
      <c r="E28" s="23"/>
      <c r="F28" s="24">
        <v>194.88300000000001</v>
      </c>
      <c r="G28" s="23">
        <v>0</v>
      </c>
      <c r="H28" s="24">
        <v>202.626</v>
      </c>
      <c r="I28" s="23">
        <v>56.586959999999998</v>
      </c>
      <c r="J28" s="24">
        <v>1189.9846600000001</v>
      </c>
      <c r="K28" s="23">
        <v>389.12704000000002</v>
      </c>
      <c r="L28" s="23">
        <v>136.40534</v>
      </c>
      <c r="M28" s="23">
        <v>1136.36393</v>
      </c>
      <c r="N28" s="23">
        <v>23.734999999999999</v>
      </c>
      <c r="O28" s="23">
        <v>133.41189</v>
      </c>
      <c r="P28" s="23">
        <v>42.774000000000001</v>
      </c>
      <c r="Q28" s="23">
        <v>9.3392800000000005</v>
      </c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39.6" hidden="1" customHeight="1">
      <c r="A29" s="28"/>
      <c r="B29" s="29"/>
      <c r="C29" s="23">
        <f>C27-C28</f>
        <v>202.91433999999981</v>
      </c>
      <c r="D29" s="33">
        <f>D28-D27</f>
        <v>1.9000000065716449E-4</v>
      </c>
      <c r="E29" s="23"/>
      <c r="F29" s="33">
        <f t="shared" ref="F29:L29" si="8">F27-F28</f>
        <v>0</v>
      </c>
      <c r="G29" s="23">
        <f t="shared" si="8"/>
        <v>0</v>
      </c>
      <c r="H29" s="23">
        <f t="shared" si="8"/>
        <v>0</v>
      </c>
      <c r="I29" s="23">
        <f t="shared" si="8"/>
        <v>0</v>
      </c>
      <c r="J29" s="23">
        <f t="shared" si="8"/>
        <v>0</v>
      </c>
      <c r="K29" s="23">
        <f t="shared" si="8"/>
        <v>0</v>
      </c>
      <c r="L29" s="23">
        <f t="shared" si="8"/>
        <v>0</v>
      </c>
      <c r="M29" s="23">
        <f t="shared" ref="M29:AA29" si="9">M28-M27</f>
        <v>0</v>
      </c>
      <c r="N29" s="23">
        <f t="shared" si="9"/>
        <v>0</v>
      </c>
      <c r="O29" s="23">
        <f t="shared" si="9"/>
        <v>-1.0000000003174137E-5</v>
      </c>
      <c r="P29" s="34">
        <f t="shared" si="9"/>
        <v>0</v>
      </c>
      <c r="Q29" s="35">
        <f t="shared" si="9"/>
        <v>0</v>
      </c>
      <c r="R29" s="23">
        <f t="shared" si="9"/>
        <v>0</v>
      </c>
      <c r="S29" s="23">
        <f t="shared" si="9"/>
        <v>0</v>
      </c>
      <c r="T29" s="23">
        <f t="shared" si="9"/>
        <v>0</v>
      </c>
      <c r="U29" s="23">
        <f t="shared" si="9"/>
        <v>0</v>
      </c>
      <c r="V29" s="23">
        <f t="shared" si="9"/>
        <v>0</v>
      </c>
      <c r="W29" s="23">
        <f t="shared" si="9"/>
        <v>5.0000000000000002E-5</v>
      </c>
      <c r="X29" s="23">
        <f t="shared" si="9"/>
        <v>0</v>
      </c>
      <c r="Y29" s="23">
        <f t="shared" si="9"/>
        <v>5.0000000000000002E-5</v>
      </c>
      <c r="Z29" s="23">
        <f t="shared" si="9"/>
        <v>0</v>
      </c>
      <c r="AA29" s="23">
        <f t="shared" si="9"/>
        <v>5.0000000000000002E-5</v>
      </c>
      <c r="AB29" s="23">
        <f>AB27-AB28</f>
        <v>0</v>
      </c>
      <c r="AC29" s="23">
        <f>AC27-AC28</f>
        <v>-5.0000000000000002E-5</v>
      </c>
    </row>
    <row r="30" spans="1:29" ht="15.75">
      <c r="A30" s="28" t="s">
        <v>54</v>
      </c>
      <c r="B30" s="29" t="s">
        <v>55</v>
      </c>
      <c r="C30" s="25">
        <f t="shared" ref="C30:C42" si="10">F30+H30+J30+L30+N30+P30+R30+T30+V30+X30+Z30+AB30</f>
        <v>4.5999999999999996</v>
      </c>
      <c r="D30" s="25">
        <f t="shared" ref="D30:D42" si="11">G30+I30+K30+M30+O30+Q30+S30+U30+W30+Y30+AA30+AC30</f>
        <v>0</v>
      </c>
      <c r="E30" s="25">
        <f t="shared" ref="E30:E42" si="12">D30/C30*100</f>
        <v>0</v>
      </c>
      <c r="F30" s="25">
        <v>2.2999999999999998</v>
      </c>
      <c r="G30" s="25"/>
      <c r="H30" s="25">
        <v>2.2999999999999998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ht="15.75">
      <c r="A31" s="28" t="s">
        <v>56</v>
      </c>
      <c r="B31" s="29" t="s">
        <v>57</v>
      </c>
      <c r="C31" s="25">
        <f t="shared" si="10"/>
        <v>198.79688999999999</v>
      </c>
      <c r="D31" s="25">
        <f t="shared" si="11"/>
        <v>170.23671400000001</v>
      </c>
      <c r="E31" s="25">
        <f t="shared" si="12"/>
        <v>85.633489537990258</v>
      </c>
      <c r="F31" s="25">
        <v>45.3</v>
      </c>
      <c r="G31" s="25"/>
      <c r="H31" s="25">
        <f>82-9.235</f>
        <v>72.765000000000001</v>
      </c>
      <c r="I31" s="25">
        <f>0.19042+2.63554+0.000004</f>
        <v>2.8259640000000004</v>
      </c>
      <c r="J31" s="25">
        <f>17.61572+28.659+4.391+19.09429+10.97188</f>
        <v>80.731889999999993</v>
      </c>
      <c r="K31" s="25">
        <f>17.61572+28.659+4.391+19.09429+10.97188-0.64715</f>
        <v>80.084739999999996</v>
      </c>
      <c r="L31" s="25"/>
      <c r="M31" s="25">
        <f>12.80401+8.30095+6.45615</f>
        <v>27.561109999999999</v>
      </c>
      <c r="N31" s="25"/>
      <c r="O31" s="25">
        <f>5.7+54.1-0.0351</f>
        <v>59.764900000000004</v>
      </c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ht="48.75" customHeight="1">
      <c r="A32" s="28" t="s">
        <v>58</v>
      </c>
      <c r="B32" s="29" t="s">
        <v>59</v>
      </c>
      <c r="C32" s="25">
        <f t="shared" si="10"/>
        <v>906.79699999999991</v>
      </c>
      <c r="D32" s="25">
        <f t="shared" si="11"/>
        <v>922.75439600000004</v>
      </c>
      <c r="E32" s="25">
        <f t="shared" si="12"/>
        <v>101.75975394713481</v>
      </c>
      <c r="F32" s="25">
        <f>118.28+0.975-0.832</f>
        <v>118.423</v>
      </c>
      <c r="G32" s="25"/>
      <c r="H32" s="25">
        <f>25.249+34.643+36.26-3.783</f>
        <v>92.368999999999986</v>
      </c>
      <c r="I32" s="25">
        <f>25.249-0.680864+0.00086</f>
        <v>24.568995999999999</v>
      </c>
      <c r="J32" s="25">
        <f>33.601+2.563+5.997+32.972+41.97+22.617+700+0.985-170.3</f>
        <v>670.40499999999997</v>
      </c>
      <c r="K32" s="25">
        <v>149.00715</v>
      </c>
      <c r="L32" s="25"/>
      <c r="M32" s="25">
        <f>2.96+0.794+3.422+5.106+12.865+637.03627+0.1308+3.36+5.5905+39.221+1.7865+1.73335-5.5905</f>
        <v>708.41492000000005</v>
      </c>
      <c r="N32" s="25"/>
      <c r="O32" s="25">
        <f>6.823+14.561+1.26+8.78</f>
        <v>31.423999999999999</v>
      </c>
      <c r="P32" s="25">
        <v>25.6</v>
      </c>
      <c r="Q32" s="25">
        <v>9.3393300000000004</v>
      </c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ht="15.75">
      <c r="A33" s="28" t="s">
        <v>60</v>
      </c>
      <c r="B33" s="29" t="s">
        <v>61</v>
      </c>
      <c r="C33" s="25">
        <f t="shared" si="10"/>
        <v>352.72696000000008</v>
      </c>
      <c r="D33" s="25">
        <f t="shared" si="11"/>
        <v>406.52</v>
      </c>
      <c r="E33" s="25">
        <f t="shared" si="12"/>
        <v>115.25061764487748</v>
      </c>
      <c r="F33" s="25">
        <v>4.2</v>
      </c>
      <c r="G33" s="25"/>
      <c r="H33" s="25"/>
      <c r="I33" s="25"/>
      <c r="J33" s="25">
        <f>5+41.18+5+139.75662+128.15-86</f>
        <v>233.08662000000004</v>
      </c>
      <c r="K33" s="25">
        <f>5+41.18+5</f>
        <v>51.18</v>
      </c>
      <c r="L33" s="25">
        <v>108.20534000000001</v>
      </c>
      <c r="M33" s="25">
        <f>2.89+5.31+339.84</f>
        <v>348.03999999999996</v>
      </c>
      <c r="N33" s="25">
        <f>7.3-0.065</f>
        <v>7.2349999999999994</v>
      </c>
      <c r="O33" s="25">
        <f>7.3</f>
        <v>7.3</v>
      </c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ht="15.75">
      <c r="A34" s="28" t="s">
        <v>62</v>
      </c>
      <c r="B34" s="29" t="s">
        <v>63</v>
      </c>
      <c r="C34" s="25">
        <f t="shared" si="10"/>
        <v>39.168499999999995</v>
      </c>
      <c r="D34" s="25">
        <f t="shared" si="11"/>
        <v>33.824399999999997</v>
      </c>
      <c r="E34" s="25">
        <f t="shared" si="12"/>
        <v>86.35612801102927</v>
      </c>
      <c r="F34" s="25">
        <v>1.2</v>
      </c>
      <c r="G34" s="25"/>
      <c r="H34" s="25"/>
      <c r="I34" s="25"/>
      <c r="J34" s="25">
        <f>13.8585+0.59+1+1.02</f>
        <v>16.468499999999999</v>
      </c>
      <c r="K34" s="25">
        <f>13.8585+0.59+1+1.02</f>
        <v>16.468499999999999</v>
      </c>
      <c r="L34" s="25">
        <v>12</v>
      </c>
      <c r="M34" s="25">
        <v>12.850899999999999</v>
      </c>
      <c r="N34" s="25">
        <v>4.5</v>
      </c>
      <c r="O34" s="25">
        <v>4.5049999999999999</v>
      </c>
      <c r="P34" s="25">
        <v>5</v>
      </c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ht="31.5">
      <c r="A35" s="28" t="s">
        <v>64</v>
      </c>
      <c r="B35" s="29" t="s">
        <v>65</v>
      </c>
      <c r="C35" s="25">
        <f t="shared" si="10"/>
        <v>105.807</v>
      </c>
      <c r="D35" s="25">
        <f t="shared" si="11"/>
        <v>105.70400000000001</v>
      </c>
      <c r="E35" s="25">
        <f t="shared" si="12"/>
        <v>99.902652943567062</v>
      </c>
      <c r="F35" s="25">
        <v>16</v>
      </c>
      <c r="G35" s="25"/>
      <c r="H35" s="25">
        <f>16.053+12.459</f>
        <v>28.512</v>
      </c>
      <c r="I35" s="25">
        <f>16.053+12.459</f>
        <v>28.512</v>
      </c>
      <c r="J35" s="25">
        <f>26.097+24.998</f>
        <v>51.094999999999999</v>
      </c>
      <c r="K35" s="25">
        <f>26.097+24.998</f>
        <v>51.094999999999999</v>
      </c>
      <c r="L35" s="25">
        <v>10.199999999999999</v>
      </c>
      <c r="M35" s="25">
        <v>26.097000000000001</v>
      </c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ht="15.75">
      <c r="A36" s="28" t="s">
        <v>66</v>
      </c>
      <c r="B36" s="29" t="s">
        <v>67</v>
      </c>
      <c r="C36" s="25">
        <f t="shared" si="10"/>
        <v>9</v>
      </c>
      <c r="D36" s="25">
        <f t="shared" si="11"/>
        <v>9</v>
      </c>
      <c r="E36" s="25">
        <f t="shared" si="12"/>
        <v>100</v>
      </c>
      <c r="F36" s="25">
        <v>3</v>
      </c>
      <c r="G36" s="25"/>
      <c r="H36" s="25"/>
      <c r="I36" s="25"/>
      <c r="J36" s="25"/>
      <c r="K36" s="25"/>
      <c r="L36" s="25">
        <v>6</v>
      </c>
      <c r="M36" s="25">
        <v>9</v>
      </c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ht="15.75">
      <c r="A37" s="28" t="s">
        <v>68</v>
      </c>
      <c r="B37" s="29" t="s">
        <v>69</v>
      </c>
      <c r="C37" s="25">
        <f t="shared" si="10"/>
        <v>10.80165</v>
      </c>
      <c r="D37" s="25">
        <f t="shared" si="11"/>
        <v>10.80165</v>
      </c>
      <c r="E37" s="25">
        <f t="shared" si="12"/>
        <v>100</v>
      </c>
      <c r="F37" s="25"/>
      <c r="G37" s="25"/>
      <c r="H37" s="25"/>
      <c r="I37" s="25"/>
      <c r="J37" s="25">
        <v>10.80165</v>
      </c>
      <c r="K37" s="25">
        <v>10.80165</v>
      </c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ht="29.65" customHeight="1">
      <c r="A38" s="28" t="s">
        <v>68</v>
      </c>
      <c r="B38" s="29" t="s">
        <v>48</v>
      </c>
      <c r="C38" s="25">
        <f t="shared" si="10"/>
        <v>127.39600000000002</v>
      </c>
      <c r="D38" s="25">
        <f t="shared" si="11"/>
        <v>52.19</v>
      </c>
      <c r="E38" s="25">
        <f t="shared" si="12"/>
        <v>40.966749348488172</v>
      </c>
      <c r="F38" s="25"/>
      <c r="G38" s="25"/>
      <c r="H38" s="25"/>
      <c r="I38" s="25"/>
      <c r="J38" s="25">
        <f>4.44+7.05+12+7+96.906</f>
        <v>127.39600000000002</v>
      </c>
      <c r="K38" s="25">
        <f>4.44+7.05+12+7</f>
        <v>30.490000000000002</v>
      </c>
      <c r="L38" s="25"/>
      <c r="M38" s="25">
        <f>3.3</f>
        <v>3.3</v>
      </c>
      <c r="N38" s="25"/>
      <c r="O38" s="25">
        <v>18.399999999999999</v>
      </c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ht="31.5">
      <c r="A39" s="28" t="s">
        <v>68</v>
      </c>
      <c r="B39" s="29" t="s">
        <v>70</v>
      </c>
      <c r="C39" s="25">
        <f t="shared" si="10"/>
        <v>31.634</v>
      </c>
      <c r="D39" s="25">
        <f t="shared" si="11"/>
        <v>13.117999999999999</v>
      </c>
      <c r="E39" s="25">
        <f t="shared" si="12"/>
        <v>41.468040715685653</v>
      </c>
      <c r="F39" s="25">
        <v>1.46</v>
      </c>
      <c r="G39" s="25"/>
      <c r="H39" s="25">
        <v>6</v>
      </c>
      <c r="I39" s="25"/>
      <c r="J39" s="25"/>
      <c r="K39" s="25"/>
      <c r="L39" s="25"/>
      <c r="M39" s="25">
        <f>1.1</f>
        <v>1.1000000000000001</v>
      </c>
      <c r="N39" s="25">
        <v>12</v>
      </c>
      <c r="O39" s="25">
        <f>1.498+10.52</f>
        <v>12.017999999999999</v>
      </c>
      <c r="P39" s="25">
        <v>12.173999999999999</v>
      </c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ht="15.75">
      <c r="A40" s="28" t="s">
        <v>71</v>
      </c>
      <c r="B40" s="29" t="s">
        <v>72</v>
      </c>
      <c r="C40" s="25">
        <f t="shared" si="10"/>
        <v>3.68</v>
      </c>
      <c r="D40" s="25">
        <f t="shared" si="11"/>
        <v>0.68</v>
      </c>
      <c r="E40" s="25">
        <f t="shared" si="12"/>
        <v>18.478260869565219</v>
      </c>
      <c r="F40" s="25">
        <v>3</v>
      </c>
      <c r="G40" s="25"/>
      <c r="H40" s="25">
        <v>0.68</v>
      </c>
      <c r="I40" s="25">
        <v>0.68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ht="22.9" customHeight="1">
      <c r="A41" s="30" t="s">
        <v>73</v>
      </c>
      <c r="B41" s="31" t="s">
        <v>74</v>
      </c>
      <c r="C41" s="18">
        <f t="shared" si="10"/>
        <v>342.97908000000001</v>
      </c>
      <c r="D41" s="18">
        <f t="shared" si="11"/>
        <v>339.00486000000001</v>
      </c>
      <c r="E41" s="18">
        <f t="shared" si="12"/>
        <v>98.841264604243491</v>
      </c>
      <c r="F41" s="18">
        <v>36.28</v>
      </c>
      <c r="G41" s="18">
        <v>36.28</v>
      </c>
      <c r="H41" s="18">
        <v>36.26</v>
      </c>
      <c r="I41" s="18">
        <f>72.54-G41</f>
        <v>36.260000000000005</v>
      </c>
      <c r="J41" s="18">
        <v>96.908000000000001</v>
      </c>
      <c r="K41" s="18">
        <v>68.891459999999995</v>
      </c>
      <c r="L41" s="18">
        <v>85.425460000000001</v>
      </c>
      <c r="M41" s="18">
        <v>34.57696</v>
      </c>
      <c r="N41" s="18">
        <v>81.555620000000005</v>
      </c>
      <c r="O41" s="18">
        <v>152.65304</v>
      </c>
      <c r="P41" s="18">
        <v>6.55</v>
      </c>
      <c r="Q41" s="18">
        <v>10.343400000000001</v>
      </c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</row>
    <row r="42" spans="1:29" s="10" customFormat="1" ht="33.6" customHeight="1">
      <c r="A42" s="36" t="s">
        <v>75</v>
      </c>
      <c r="B42" s="17" t="s">
        <v>76</v>
      </c>
      <c r="C42" s="18">
        <f t="shared" si="10"/>
        <v>468.42624999999992</v>
      </c>
      <c r="D42" s="18">
        <f t="shared" si="11"/>
        <v>420.28037</v>
      </c>
      <c r="E42" s="18">
        <f t="shared" si="12"/>
        <v>89.721780109462273</v>
      </c>
      <c r="F42" s="18">
        <f t="shared" ref="F42:R42" si="13">SUM(F45:F74)</f>
        <v>156.86147</v>
      </c>
      <c r="G42" s="18">
        <f t="shared" si="13"/>
        <v>33.524259999999998</v>
      </c>
      <c r="H42" s="18">
        <f t="shared" si="13"/>
        <v>137.32599999999999</v>
      </c>
      <c r="I42" s="18">
        <f t="shared" si="13"/>
        <v>209.59224</v>
      </c>
      <c r="J42" s="18">
        <f t="shared" si="13"/>
        <v>141.49477999999999</v>
      </c>
      <c r="K42" s="18">
        <f t="shared" si="13"/>
        <v>103.06039999999999</v>
      </c>
      <c r="L42" s="37">
        <f t="shared" si="13"/>
        <v>17.271999999999998</v>
      </c>
      <c r="M42" s="18">
        <f t="shared" si="13"/>
        <v>53.532620000000001</v>
      </c>
      <c r="N42" s="18">
        <f t="shared" si="13"/>
        <v>13.2</v>
      </c>
      <c r="O42" s="18">
        <f t="shared" si="13"/>
        <v>-9.7439999999999999E-2</v>
      </c>
      <c r="P42" s="18">
        <f t="shared" si="13"/>
        <v>2.2719999999999998</v>
      </c>
      <c r="Q42" s="18">
        <f t="shared" si="13"/>
        <v>20.668289999999999</v>
      </c>
      <c r="R42" s="18">
        <f t="shared" si="13"/>
        <v>0</v>
      </c>
      <c r="S42" s="18">
        <f t="shared" ref="S42:Z42" si="14">SUM(S45:S54)</f>
        <v>0</v>
      </c>
      <c r="T42" s="18">
        <f t="shared" si="14"/>
        <v>0</v>
      </c>
      <c r="U42" s="18">
        <f t="shared" si="14"/>
        <v>0</v>
      </c>
      <c r="V42" s="18">
        <f t="shared" si="14"/>
        <v>0</v>
      </c>
      <c r="W42" s="18">
        <f t="shared" si="14"/>
        <v>0</v>
      </c>
      <c r="X42" s="18">
        <f t="shared" si="14"/>
        <v>0</v>
      </c>
      <c r="Y42" s="18">
        <f t="shared" si="14"/>
        <v>0</v>
      </c>
      <c r="Z42" s="18">
        <f t="shared" si="14"/>
        <v>0</v>
      </c>
      <c r="AA42" s="18">
        <f>SUM(AA45:AA74)</f>
        <v>0</v>
      </c>
      <c r="AB42" s="18">
        <f>SUM(AB45:AB73)</f>
        <v>0</v>
      </c>
      <c r="AC42" s="18">
        <f>SUM(AC45:AC73)</f>
        <v>0</v>
      </c>
    </row>
    <row r="43" spans="1:29" s="40" customFormat="1" ht="25.15" hidden="1" customHeight="1">
      <c r="A43" s="38"/>
      <c r="B43" s="39" t="s">
        <v>77</v>
      </c>
      <c r="C43" s="23">
        <v>435.68225000000001</v>
      </c>
      <c r="D43" s="23">
        <f>G43+I43+K43+M43+O43+Q43+S43+U43+W43</f>
        <v>420.37781000000001</v>
      </c>
      <c r="E43" s="23"/>
      <c r="F43" s="23">
        <v>156.86147</v>
      </c>
      <c r="G43" s="23">
        <v>33.524259999999998</v>
      </c>
      <c r="H43" s="23">
        <v>137.32599999999999</v>
      </c>
      <c r="I43" s="23">
        <f>243.1165-G43</f>
        <v>209.59224</v>
      </c>
      <c r="J43" s="23">
        <v>141.49477999999999</v>
      </c>
      <c r="K43" s="23">
        <f>346.1769-I43-G43</f>
        <v>103.06039999999999</v>
      </c>
      <c r="L43" s="23">
        <v>17.271999999999998</v>
      </c>
      <c r="M43" s="23">
        <v>53.532620000000001</v>
      </c>
      <c r="N43" s="23">
        <v>13.153</v>
      </c>
      <c r="O43" s="23">
        <v>0</v>
      </c>
      <c r="P43" s="23">
        <v>2.2719999999999998</v>
      </c>
      <c r="Q43" s="23">
        <v>20.668289999999999</v>
      </c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s="43" customFormat="1" ht="15.75" hidden="1">
      <c r="A44" s="41"/>
      <c r="B44" s="42"/>
      <c r="C44" s="23">
        <f>C42-C43</f>
        <v>32.743999999999915</v>
      </c>
      <c r="D44" s="23">
        <f>D42-D43</f>
        <v>-9.7440000000005966E-2</v>
      </c>
      <c r="E44" s="23"/>
      <c r="F44" s="23">
        <f t="shared" ref="F44:AC44" si="15">F42-F43</f>
        <v>0</v>
      </c>
      <c r="G44" s="23">
        <f t="shared" si="15"/>
        <v>0</v>
      </c>
      <c r="H44" s="23">
        <f t="shared" si="15"/>
        <v>0</v>
      </c>
      <c r="I44" s="23">
        <f t="shared" si="15"/>
        <v>0</v>
      </c>
      <c r="J44" s="23">
        <f t="shared" si="15"/>
        <v>0</v>
      </c>
      <c r="K44" s="23">
        <f t="shared" si="15"/>
        <v>0</v>
      </c>
      <c r="L44" s="34">
        <f t="shared" si="15"/>
        <v>0</v>
      </c>
      <c r="M44" s="23">
        <f t="shared" si="15"/>
        <v>0</v>
      </c>
      <c r="N44" s="23">
        <f t="shared" si="15"/>
        <v>4.699999999999882E-2</v>
      </c>
      <c r="O44" s="23">
        <f t="shared" si="15"/>
        <v>-9.7439999999999999E-2</v>
      </c>
      <c r="P44" s="34">
        <f t="shared" si="15"/>
        <v>0</v>
      </c>
      <c r="Q44" s="34">
        <f t="shared" si="15"/>
        <v>0</v>
      </c>
      <c r="R44" s="23">
        <f t="shared" si="15"/>
        <v>0</v>
      </c>
      <c r="S44" s="23">
        <f t="shared" si="15"/>
        <v>0</v>
      </c>
      <c r="T44" s="23">
        <f t="shared" si="15"/>
        <v>0</v>
      </c>
      <c r="U44" s="23">
        <f t="shared" si="15"/>
        <v>0</v>
      </c>
      <c r="V44" s="23">
        <f t="shared" si="15"/>
        <v>0</v>
      </c>
      <c r="W44" s="23">
        <f t="shared" si="15"/>
        <v>0</v>
      </c>
      <c r="X44" s="23">
        <f t="shared" si="15"/>
        <v>0</v>
      </c>
      <c r="Y44" s="23">
        <f t="shared" si="15"/>
        <v>0</v>
      </c>
      <c r="Z44" s="23">
        <f t="shared" si="15"/>
        <v>0</v>
      </c>
      <c r="AA44" s="23">
        <f t="shared" si="15"/>
        <v>0</v>
      </c>
      <c r="AB44" s="23">
        <f t="shared" si="15"/>
        <v>0</v>
      </c>
      <c r="AC44" s="23">
        <f t="shared" si="15"/>
        <v>0</v>
      </c>
    </row>
    <row r="45" spans="1:29" ht="49.35" customHeight="1">
      <c r="A45" s="28" t="s">
        <v>78</v>
      </c>
      <c r="B45" s="29" t="s">
        <v>79</v>
      </c>
      <c r="C45" s="25">
        <f t="shared" ref="C45:C76" si="16">F45+H45+J45+L45+N45+P45+R45+T45+V45+X45+Z45+AB45</f>
        <v>25.290970000000002</v>
      </c>
      <c r="D45" s="25">
        <f t="shared" ref="D45:D76" si="17">G45+I45+K45+M45+O45+Q45+S45+U45+W45+Y45+AA45+AC45</f>
        <v>14.49593</v>
      </c>
      <c r="E45" s="25">
        <f t="shared" ref="E45:E76" si="18">D45/C45*100</f>
        <v>57.316623284911557</v>
      </c>
      <c r="F45" s="25"/>
      <c r="G45" s="25"/>
      <c r="H45" s="25">
        <f>14.3-0.17153+0.625-0.6875-0.2149-0.0001</f>
        <v>13.85097</v>
      </c>
      <c r="I45" s="25"/>
      <c r="J45" s="25">
        <f>8.5+1.54+1.4</f>
        <v>11.44</v>
      </c>
      <c r="K45" s="25">
        <f>8.5+1.54+1.4</f>
        <v>11.44</v>
      </c>
      <c r="L45" s="25"/>
      <c r="M45" s="25">
        <f>1.64+1.41593</f>
        <v>3.05593</v>
      </c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6" spans="1:29" ht="51.6" customHeight="1">
      <c r="A46" s="28" t="s">
        <v>80</v>
      </c>
      <c r="B46" s="29" t="s">
        <v>81</v>
      </c>
      <c r="C46" s="25">
        <f t="shared" si="16"/>
        <v>6</v>
      </c>
      <c r="D46" s="25">
        <f t="shared" si="17"/>
        <v>0</v>
      </c>
      <c r="E46" s="25">
        <f t="shared" si="18"/>
        <v>0</v>
      </c>
      <c r="F46" s="25"/>
      <c r="G46" s="25"/>
      <c r="H46" s="25">
        <v>6</v>
      </c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</row>
    <row r="47" spans="1:29" ht="33.950000000000003" customHeight="1">
      <c r="A47" s="28" t="s">
        <v>82</v>
      </c>
      <c r="B47" s="29" t="s">
        <v>83</v>
      </c>
      <c r="C47" s="25">
        <f t="shared" si="16"/>
        <v>5.85</v>
      </c>
      <c r="D47" s="25">
        <f t="shared" si="17"/>
        <v>8.7607499999999998</v>
      </c>
      <c r="E47" s="25">
        <f t="shared" si="18"/>
        <v>149.75641025641028</v>
      </c>
      <c r="F47" s="25"/>
      <c r="G47" s="25">
        <v>2.9202499999999998</v>
      </c>
      <c r="H47" s="25">
        <v>5.85</v>
      </c>
      <c r="I47" s="25">
        <v>2.9202499999999998</v>
      </c>
      <c r="J47" s="25"/>
      <c r="K47" s="25"/>
      <c r="L47" s="25"/>
      <c r="M47" s="25">
        <v>2.9202499999999998</v>
      </c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</row>
    <row r="48" spans="1:29" ht="40.700000000000003" customHeight="1">
      <c r="A48" s="28" t="s">
        <v>84</v>
      </c>
      <c r="B48" s="29" t="s">
        <v>85</v>
      </c>
      <c r="C48" s="25">
        <f t="shared" si="16"/>
        <v>6.4022600000000001</v>
      </c>
      <c r="D48" s="25">
        <f t="shared" si="17"/>
        <v>6.4661900000000001</v>
      </c>
      <c r="E48" s="25">
        <f t="shared" si="18"/>
        <v>100.99855363574737</v>
      </c>
      <c r="F48" s="25"/>
      <c r="G48" s="25"/>
      <c r="H48" s="25">
        <v>0.72153</v>
      </c>
      <c r="I48" s="25">
        <v>0.72155000000000002</v>
      </c>
      <c r="J48" s="25">
        <f>5.74464-0.06369-0.00022</f>
        <v>5.6807300000000005</v>
      </c>
      <c r="K48" s="25">
        <f>5.7+0.04464</f>
        <v>5.7446400000000004</v>
      </c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</row>
    <row r="49" spans="1:29" ht="38.450000000000003" customHeight="1">
      <c r="A49" s="28" t="s">
        <v>86</v>
      </c>
      <c r="B49" s="29" t="s">
        <v>87</v>
      </c>
      <c r="C49" s="25">
        <f t="shared" si="16"/>
        <v>0</v>
      </c>
      <c r="D49" s="25">
        <f t="shared" si="17"/>
        <v>0</v>
      </c>
      <c r="E49" s="25" t="e">
        <f t="shared" si="18"/>
        <v>#DIV/0!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spans="1:29" ht="31.5">
      <c r="A50" s="28" t="s">
        <v>88</v>
      </c>
      <c r="B50" s="29" t="s">
        <v>89</v>
      </c>
      <c r="C50" s="25">
        <f t="shared" si="16"/>
        <v>22.7</v>
      </c>
      <c r="D50" s="25">
        <f t="shared" si="17"/>
        <v>30.440670000000004</v>
      </c>
      <c r="E50" s="25">
        <f t="shared" si="18"/>
        <v>134.09986784140972</v>
      </c>
      <c r="F50" s="25"/>
      <c r="G50" s="25">
        <f>4.3032+1.67839+1.63554</f>
        <v>7.6171300000000004</v>
      </c>
      <c r="H50" s="25">
        <v>12.2</v>
      </c>
      <c r="I50" s="25">
        <f>2.03057+4.3032+1.70464-0.008</f>
        <v>8.0304100000000016</v>
      </c>
      <c r="J50" s="25">
        <v>10.5</v>
      </c>
      <c r="K50" s="25">
        <f>2.69851+4.3032</f>
        <v>7.001710000000001</v>
      </c>
      <c r="L50" s="25"/>
      <c r="M50" s="25">
        <f>5.08004+2.71138</f>
        <v>7.7914200000000005</v>
      </c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</row>
    <row r="51" spans="1:29" ht="47.25">
      <c r="A51" s="28" t="s">
        <v>90</v>
      </c>
      <c r="B51" s="29" t="s">
        <v>91</v>
      </c>
      <c r="C51" s="25">
        <f t="shared" si="16"/>
        <v>22.181660000000001</v>
      </c>
      <c r="D51" s="25">
        <f t="shared" si="17"/>
        <v>26.703760000000003</v>
      </c>
      <c r="E51" s="25">
        <f t="shared" si="18"/>
        <v>120.3866617737356</v>
      </c>
      <c r="F51" s="25"/>
      <c r="G51" s="25">
        <v>7.3816600000000001</v>
      </c>
      <c r="H51" s="25">
        <v>14.8</v>
      </c>
      <c r="I51" s="25">
        <v>7.3816600000000001</v>
      </c>
      <c r="J51" s="25">
        <v>7.3816600000000001</v>
      </c>
      <c r="K51" s="25">
        <v>7.3816600000000001</v>
      </c>
      <c r="L51" s="25"/>
      <c r="M51" s="25">
        <f>0.86795+3.69083</f>
        <v>4.5587800000000005</v>
      </c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1:29" ht="43.9" customHeight="1">
      <c r="A52" s="28" t="s">
        <v>92</v>
      </c>
      <c r="B52" s="29" t="s">
        <v>93</v>
      </c>
      <c r="C52" s="25">
        <f t="shared" si="16"/>
        <v>1.94455</v>
      </c>
      <c r="D52" s="25">
        <f t="shared" si="17"/>
        <v>1.9450400000000001</v>
      </c>
      <c r="E52" s="25">
        <f t="shared" si="18"/>
        <v>100.02519863207426</v>
      </c>
      <c r="F52" s="25"/>
      <c r="G52" s="25">
        <v>1.22349</v>
      </c>
      <c r="H52" s="25">
        <v>1.2230000000000001</v>
      </c>
      <c r="I52" s="25"/>
      <c r="J52" s="25">
        <v>0.72155000000000002</v>
      </c>
      <c r="K52" s="25">
        <v>0.72155000000000002</v>
      </c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</row>
    <row r="53" spans="1:29" ht="46.15" customHeight="1">
      <c r="A53" s="28" t="s">
        <v>94</v>
      </c>
      <c r="B53" s="29" t="s">
        <v>95</v>
      </c>
      <c r="C53" s="25">
        <f t="shared" si="16"/>
        <v>12.460759999999999</v>
      </c>
      <c r="D53" s="25">
        <f t="shared" si="17"/>
        <v>18.123000000000001</v>
      </c>
      <c r="E53" s="25">
        <f t="shared" si="18"/>
        <v>145.44056702801436</v>
      </c>
      <c r="F53" s="25"/>
      <c r="G53" s="25">
        <f>1.2+1.38</f>
        <v>2.58</v>
      </c>
      <c r="H53" s="25">
        <v>4.82</v>
      </c>
      <c r="I53" s="25">
        <f>1.12+1.12</f>
        <v>2.2400000000000002</v>
      </c>
      <c r="J53" s="25">
        <v>1.1200000000000001</v>
      </c>
      <c r="K53" s="25">
        <v>1.1200000000000001</v>
      </c>
      <c r="L53" s="25">
        <f>8.388+2.675+1.12-0.66224-7.272</f>
        <v>4.248759999999999</v>
      </c>
      <c r="M53" s="25">
        <f>8.388+2.675+1.12</f>
        <v>12.183</v>
      </c>
      <c r="N53" s="25"/>
      <c r="O53" s="25"/>
      <c r="P53" s="25">
        <v>2.2719999999999998</v>
      </c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</row>
    <row r="54" spans="1:29" ht="18" customHeight="1">
      <c r="A54" s="28" t="s">
        <v>96</v>
      </c>
      <c r="B54" s="29" t="s">
        <v>97</v>
      </c>
      <c r="C54" s="25">
        <f t="shared" si="16"/>
        <v>7.0114999999999998</v>
      </c>
      <c r="D54" s="25">
        <f t="shared" si="17"/>
        <v>7.0114999999999998</v>
      </c>
      <c r="E54" s="25">
        <f t="shared" si="18"/>
        <v>100</v>
      </c>
      <c r="F54" s="25"/>
      <c r="G54" s="25"/>
      <c r="H54" s="25">
        <v>1.6194999999999999</v>
      </c>
      <c r="I54" s="25">
        <v>1.6194999999999999</v>
      </c>
      <c r="J54" s="25">
        <f>0.153+1.2+1.6195+0.2</f>
        <v>3.1725000000000003</v>
      </c>
      <c r="K54" s="25">
        <f>0.153+1.2+1.6195+0.2</f>
        <v>3.1725000000000003</v>
      </c>
      <c r="L54" s="25">
        <f>1.6195+0.2+0.4</f>
        <v>2.2195</v>
      </c>
      <c r="M54" s="25">
        <f>1.6195+0.2+0.4</f>
        <v>2.2195</v>
      </c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</row>
    <row r="55" spans="1:29" ht="31.5">
      <c r="A55" s="28" t="s">
        <v>98</v>
      </c>
      <c r="B55" s="29" t="s">
        <v>99</v>
      </c>
      <c r="C55" s="25">
        <f t="shared" si="16"/>
        <v>15.96</v>
      </c>
      <c r="D55" s="25">
        <f t="shared" si="17"/>
        <v>15.96</v>
      </c>
      <c r="E55" s="25">
        <f t="shared" si="18"/>
        <v>100</v>
      </c>
      <c r="F55" s="25"/>
      <c r="G55" s="25"/>
      <c r="H55" s="25"/>
      <c r="I55" s="25"/>
      <c r="J55" s="25">
        <v>15.96</v>
      </c>
      <c r="K55" s="25">
        <v>15.96</v>
      </c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</row>
    <row r="56" spans="1:29" ht="31.5">
      <c r="A56" s="28" t="s">
        <v>100</v>
      </c>
      <c r="B56" s="29" t="s">
        <v>101</v>
      </c>
      <c r="C56" s="25">
        <f t="shared" si="16"/>
        <v>0</v>
      </c>
      <c r="D56" s="25">
        <f t="shared" si="17"/>
        <v>0</v>
      </c>
      <c r="E56" s="25" t="e">
        <f t="shared" si="18"/>
        <v>#DIV/0!</v>
      </c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</row>
    <row r="57" spans="1:29" ht="35.1" customHeight="1">
      <c r="A57" s="28" t="s">
        <v>102</v>
      </c>
      <c r="B57" s="29" t="s">
        <v>103</v>
      </c>
      <c r="C57" s="25">
        <f t="shared" si="16"/>
        <v>3.4</v>
      </c>
      <c r="D57" s="25">
        <f t="shared" si="17"/>
        <v>3.4</v>
      </c>
      <c r="E57" s="25">
        <f t="shared" si="18"/>
        <v>100</v>
      </c>
      <c r="F57" s="25"/>
      <c r="G57" s="25">
        <v>3.4</v>
      </c>
      <c r="H57" s="25">
        <v>3.4</v>
      </c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</row>
    <row r="58" spans="1:29" ht="31.5">
      <c r="A58" s="28" t="s">
        <v>104</v>
      </c>
      <c r="B58" s="29" t="s">
        <v>105</v>
      </c>
      <c r="C58" s="25">
        <f t="shared" si="16"/>
        <v>0</v>
      </c>
      <c r="D58" s="25">
        <f t="shared" si="17"/>
        <v>0</v>
      </c>
      <c r="E58" s="25" t="e">
        <f t="shared" si="18"/>
        <v>#DIV/0!</v>
      </c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</row>
    <row r="59" spans="1:29" ht="31.5">
      <c r="A59" s="28" t="s">
        <v>106</v>
      </c>
      <c r="B59" s="29" t="s">
        <v>107</v>
      </c>
      <c r="C59" s="25">
        <f t="shared" si="16"/>
        <v>12.748989999999999</v>
      </c>
      <c r="D59" s="25">
        <f t="shared" si="17"/>
        <v>12.748989999999999</v>
      </c>
      <c r="E59" s="25">
        <f t="shared" si="18"/>
        <v>100</v>
      </c>
      <c r="F59" s="25"/>
      <c r="G59" s="25"/>
      <c r="H59" s="25"/>
      <c r="I59" s="25"/>
      <c r="J59" s="25">
        <v>2.9202499999999998</v>
      </c>
      <c r="K59" s="25">
        <v>2.9202499999999998</v>
      </c>
      <c r="L59" s="25">
        <v>9.8287399999999998</v>
      </c>
      <c r="M59" s="25">
        <v>9.8287399999999998</v>
      </c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</row>
    <row r="60" spans="1:29" ht="15.75">
      <c r="A60" s="28" t="s">
        <v>108</v>
      </c>
      <c r="B60" s="29" t="s">
        <v>109</v>
      </c>
      <c r="C60" s="25">
        <f t="shared" si="16"/>
        <v>4.7999999999999996E-3</v>
      </c>
      <c r="D60" s="25">
        <f t="shared" si="17"/>
        <v>4.7999999999999996E-3</v>
      </c>
      <c r="E60" s="25">
        <f t="shared" si="18"/>
        <v>100</v>
      </c>
      <c r="F60" s="25"/>
      <c r="G60" s="25"/>
      <c r="H60" s="25">
        <v>4.7999999999999996E-3</v>
      </c>
      <c r="I60" s="25">
        <v>4.7999999999999996E-3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</row>
    <row r="61" spans="1:29" ht="15.75">
      <c r="A61" s="28" t="s">
        <v>110</v>
      </c>
      <c r="B61" s="29" t="s">
        <v>111</v>
      </c>
      <c r="C61" s="25">
        <f t="shared" si="16"/>
        <v>6.2729999999999997</v>
      </c>
      <c r="D61" s="25">
        <f t="shared" si="17"/>
        <v>6.2729999999999997</v>
      </c>
      <c r="E61" s="25">
        <f t="shared" si="18"/>
        <v>100</v>
      </c>
      <c r="F61" s="25"/>
      <c r="G61" s="25"/>
      <c r="H61" s="25"/>
      <c r="I61" s="25"/>
      <c r="J61" s="25">
        <f>4.05467+0.49837+1.25793+0.46203</f>
        <v>6.2729999999999997</v>
      </c>
      <c r="K61" s="25">
        <f>4.05467+0.49837+1.25793+0.46203</f>
        <v>6.2729999999999997</v>
      </c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ht="31.5">
      <c r="A62" s="28" t="s">
        <v>112</v>
      </c>
      <c r="B62" s="29" t="s">
        <v>113</v>
      </c>
      <c r="C62" s="25">
        <f t="shared" si="16"/>
        <v>0</v>
      </c>
      <c r="D62" s="25">
        <f t="shared" si="17"/>
        <v>0</v>
      </c>
      <c r="E62" s="25" t="e">
        <f t="shared" si="18"/>
        <v>#DIV/0!</v>
      </c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</row>
    <row r="63" spans="1:29" ht="31.5">
      <c r="A63" s="28" t="s">
        <v>114</v>
      </c>
      <c r="B63" s="29" t="s">
        <v>115</v>
      </c>
      <c r="C63" s="25">
        <f t="shared" si="16"/>
        <v>1.8249999999999997</v>
      </c>
      <c r="D63" s="25">
        <f t="shared" si="17"/>
        <v>1.7249999999999999</v>
      </c>
      <c r="E63" s="25">
        <f t="shared" si="18"/>
        <v>94.520547945205493</v>
      </c>
      <c r="F63" s="25"/>
      <c r="G63" s="25">
        <v>0.25</v>
      </c>
      <c r="H63" s="25">
        <v>0.6</v>
      </c>
      <c r="I63" s="25">
        <v>0.25</v>
      </c>
      <c r="J63" s="25">
        <v>0.25</v>
      </c>
      <c r="K63" s="25">
        <v>0.25</v>
      </c>
      <c r="L63" s="25">
        <f>0.045+0.13+0.13+0.25+0.42</f>
        <v>0.97499999999999987</v>
      </c>
      <c r="M63" s="25">
        <f>0.045+0.13+0.13+0.25+0.42</f>
        <v>0.97499999999999987</v>
      </c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</row>
    <row r="64" spans="1:29" ht="31.5">
      <c r="A64" s="28" t="s">
        <v>116</v>
      </c>
      <c r="B64" s="29" t="s">
        <v>117</v>
      </c>
      <c r="C64" s="25">
        <f t="shared" si="16"/>
        <v>2.2200000000000002</v>
      </c>
      <c r="D64" s="25">
        <f t="shared" si="17"/>
        <v>2.2200000000000002</v>
      </c>
      <c r="E64" s="25">
        <f t="shared" si="18"/>
        <v>100</v>
      </c>
      <c r="F64" s="25"/>
      <c r="G64" s="25"/>
      <c r="H64" s="25"/>
      <c r="I64" s="25"/>
      <c r="J64" s="25">
        <v>2.2200000000000002</v>
      </c>
      <c r="K64" s="25">
        <v>2.2200000000000002</v>
      </c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</row>
    <row r="65" spans="1:29" ht="52.5" customHeight="1">
      <c r="A65" s="28" t="s">
        <v>118</v>
      </c>
      <c r="B65" s="29" t="s">
        <v>119</v>
      </c>
      <c r="C65" s="25">
        <f t="shared" si="16"/>
        <v>0</v>
      </c>
      <c r="D65" s="25">
        <f t="shared" si="17"/>
        <v>0</v>
      </c>
      <c r="E65" s="25" t="e">
        <f t="shared" si="18"/>
        <v>#DIV/0!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ht="31.5">
      <c r="A66" s="28" t="s">
        <v>120</v>
      </c>
      <c r="B66" s="29" t="s">
        <v>121</v>
      </c>
      <c r="C66" s="25">
        <f t="shared" si="16"/>
        <v>0</v>
      </c>
      <c r="D66" s="25">
        <f t="shared" si="17"/>
        <v>0</v>
      </c>
      <c r="E66" s="25" t="e">
        <f t="shared" si="18"/>
        <v>#DIV/0!</v>
      </c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</row>
    <row r="67" spans="1:29" ht="31.5">
      <c r="A67" s="28" t="s">
        <v>122</v>
      </c>
      <c r="B67" s="29" t="s">
        <v>123</v>
      </c>
      <c r="C67" s="25">
        <f t="shared" si="16"/>
        <v>0</v>
      </c>
      <c r="D67" s="25">
        <f t="shared" si="17"/>
        <v>0</v>
      </c>
      <c r="E67" s="25" t="e">
        <f t="shared" si="18"/>
        <v>#DIV/0!</v>
      </c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</row>
    <row r="68" spans="1:29" ht="31.5">
      <c r="A68" s="28" t="s">
        <v>124</v>
      </c>
      <c r="B68" s="29" t="s">
        <v>125</v>
      </c>
      <c r="C68" s="25">
        <f t="shared" si="16"/>
        <v>159.96146999999999</v>
      </c>
      <c r="D68" s="25">
        <f t="shared" si="17"/>
        <v>160</v>
      </c>
      <c r="E68" s="25">
        <f t="shared" si="18"/>
        <v>100.02408705046284</v>
      </c>
      <c r="F68" s="25">
        <v>156.86147</v>
      </c>
      <c r="G68" s="25"/>
      <c r="H68" s="25">
        <v>3.1</v>
      </c>
      <c r="I68" s="25">
        <v>160</v>
      </c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</row>
    <row r="69" spans="1:29" ht="26.25" customHeight="1">
      <c r="A69" s="28" t="s">
        <v>126</v>
      </c>
      <c r="B69" s="29" t="s">
        <v>127</v>
      </c>
      <c r="C69" s="25">
        <f t="shared" si="16"/>
        <v>0</v>
      </c>
      <c r="D69" s="25">
        <f t="shared" si="17"/>
        <v>0</v>
      </c>
      <c r="E69" s="25" t="e">
        <f t="shared" si="18"/>
        <v>#DIV/0!</v>
      </c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</row>
    <row r="70" spans="1:29" ht="47.25">
      <c r="A70" s="28" t="s">
        <v>128</v>
      </c>
      <c r="B70" s="29" t="s">
        <v>129</v>
      </c>
      <c r="C70" s="25">
        <f t="shared" si="16"/>
        <v>14.6</v>
      </c>
      <c r="D70" s="25">
        <f t="shared" si="17"/>
        <v>14.58498</v>
      </c>
      <c r="E70" s="25">
        <f t="shared" si="18"/>
        <v>99.897123287671235</v>
      </c>
      <c r="F70" s="25"/>
      <c r="G70" s="25">
        <v>8.1517300000000006</v>
      </c>
      <c r="H70" s="25">
        <v>14.6</v>
      </c>
      <c r="I70" s="25">
        <f>3.9+2.53325</f>
        <v>6.4332499999999992</v>
      </c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</row>
    <row r="71" spans="1:29" ht="31.5">
      <c r="A71" s="28" t="s">
        <v>130</v>
      </c>
      <c r="B71" s="29" t="s">
        <v>131</v>
      </c>
      <c r="C71" s="25">
        <f t="shared" si="16"/>
        <v>32.855089999999997</v>
      </c>
      <c r="D71" s="25">
        <f t="shared" si="17"/>
        <v>32.855089999999997</v>
      </c>
      <c r="E71" s="25">
        <f t="shared" si="18"/>
        <v>100</v>
      </c>
      <c r="F71" s="25"/>
      <c r="G71" s="25"/>
      <c r="H71" s="25"/>
      <c r="I71" s="25"/>
      <c r="J71" s="25">
        <v>32.855089999999997</v>
      </c>
      <c r="K71" s="25">
        <v>32.855089999999997</v>
      </c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</row>
    <row r="72" spans="1:29" ht="47.25">
      <c r="A72" s="28" t="s">
        <v>132</v>
      </c>
      <c r="B72" s="29" t="s">
        <v>133</v>
      </c>
      <c r="C72" s="25">
        <f t="shared" si="16"/>
        <v>53.2</v>
      </c>
      <c r="D72" s="25">
        <f t="shared" si="17"/>
        <v>35.57085</v>
      </c>
      <c r="E72" s="25">
        <f t="shared" si="18"/>
        <v>66.862499999999997</v>
      </c>
      <c r="F72" s="25"/>
      <c r="G72" s="25"/>
      <c r="H72" s="25"/>
      <c r="I72" s="25"/>
      <c r="J72" s="25">
        <v>40</v>
      </c>
      <c r="K72" s="25">
        <v>5</v>
      </c>
      <c r="L72" s="25"/>
      <c r="M72" s="25">
        <v>10</v>
      </c>
      <c r="N72" s="25">
        <v>13.2</v>
      </c>
      <c r="O72" s="25">
        <v>-9.7439999999999999E-2</v>
      </c>
      <c r="P72" s="25"/>
      <c r="Q72" s="25">
        <f>10+10.66829</f>
        <v>20.668289999999999</v>
      </c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</row>
    <row r="73" spans="1:29" ht="31.5">
      <c r="A73" s="28" t="s">
        <v>134</v>
      </c>
      <c r="B73" s="29" t="s">
        <v>135</v>
      </c>
      <c r="C73" s="25">
        <f t="shared" si="16"/>
        <v>40</v>
      </c>
      <c r="D73" s="25">
        <f t="shared" si="17"/>
        <v>19.990819999999999</v>
      </c>
      <c r="E73" s="25">
        <f t="shared" si="18"/>
        <v>49.977049999999998</v>
      </c>
      <c r="F73" s="25"/>
      <c r="G73" s="25"/>
      <c r="H73" s="25">
        <v>40</v>
      </c>
      <c r="I73" s="25">
        <v>19.990819999999999</v>
      </c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</row>
    <row r="74" spans="1:29" ht="15.75">
      <c r="A74" s="28" t="s">
        <v>136</v>
      </c>
      <c r="B74" s="29" t="s">
        <v>137</v>
      </c>
      <c r="C74" s="25">
        <f t="shared" si="16"/>
        <v>15.536200000000001</v>
      </c>
      <c r="D74" s="25">
        <f t="shared" si="17"/>
        <v>1</v>
      </c>
      <c r="E74" s="25">
        <f t="shared" si="18"/>
        <v>6.4365803735791243</v>
      </c>
      <c r="F74" s="25"/>
      <c r="G74" s="25"/>
      <c r="H74" s="25">
        <f>13+1.5362</f>
        <v>14.536200000000001</v>
      </c>
      <c r="I74" s="25"/>
      <c r="J74" s="25">
        <v>1</v>
      </c>
      <c r="K74" s="25">
        <v>1</v>
      </c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</row>
    <row r="75" spans="1:29" ht="35.25" customHeight="1">
      <c r="A75" s="30" t="s">
        <v>138</v>
      </c>
      <c r="B75" s="31" t="s">
        <v>139</v>
      </c>
      <c r="C75" s="18">
        <f t="shared" si="16"/>
        <v>1.5</v>
      </c>
      <c r="D75" s="18">
        <f t="shared" si="17"/>
        <v>0</v>
      </c>
      <c r="E75" s="18">
        <f t="shared" si="18"/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1.5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ht="31.5" customHeight="1">
      <c r="A76" s="30" t="s">
        <v>140</v>
      </c>
      <c r="B76" s="31" t="s">
        <v>141</v>
      </c>
      <c r="C76" s="18">
        <f t="shared" si="16"/>
        <v>1534.4809199999997</v>
      </c>
      <c r="D76" s="18">
        <f t="shared" si="17"/>
        <v>1372.29621</v>
      </c>
      <c r="E76" s="18">
        <f t="shared" si="18"/>
        <v>89.430646684091727</v>
      </c>
      <c r="F76" s="18">
        <f t="shared" ref="F76:AC76" si="19">SUM(F78:F81)</f>
        <v>537.8135299999999</v>
      </c>
      <c r="G76" s="18">
        <f t="shared" si="19"/>
        <v>91.802740000000014</v>
      </c>
      <c r="H76" s="18">
        <f t="shared" si="19"/>
        <v>331.34638999999999</v>
      </c>
      <c r="I76" s="18">
        <f t="shared" si="19"/>
        <v>333.33657999999997</v>
      </c>
      <c r="J76" s="18">
        <f t="shared" si="19"/>
        <v>167.87399999999997</v>
      </c>
      <c r="K76" s="18">
        <f t="shared" si="19"/>
        <v>333.05705</v>
      </c>
      <c r="L76" s="18">
        <f t="shared" si="19"/>
        <v>214.48900000000003</v>
      </c>
      <c r="M76" s="18">
        <f t="shared" si="19"/>
        <v>287.76152000000002</v>
      </c>
      <c r="N76" s="18">
        <f t="shared" si="19"/>
        <v>156.09800000000001</v>
      </c>
      <c r="O76" s="18">
        <f t="shared" si="19"/>
        <v>180.36394000000001</v>
      </c>
      <c r="P76" s="18">
        <f t="shared" si="19"/>
        <v>126.86</v>
      </c>
      <c r="Q76" s="18">
        <f t="shared" si="19"/>
        <v>145.97438</v>
      </c>
      <c r="R76" s="18">
        <f t="shared" si="19"/>
        <v>0</v>
      </c>
      <c r="S76" s="18">
        <f t="shared" si="19"/>
        <v>0</v>
      </c>
      <c r="T76" s="18">
        <f t="shared" si="19"/>
        <v>0</v>
      </c>
      <c r="U76" s="18">
        <f t="shared" si="19"/>
        <v>0</v>
      </c>
      <c r="V76" s="18">
        <f t="shared" si="19"/>
        <v>0</v>
      </c>
      <c r="W76" s="18">
        <f t="shared" si="19"/>
        <v>0</v>
      </c>
      <c r="X76" s="18">
        <f t="shared" si="19"/>
        <v>0</v>
      </c>
      <c r="Y76" s="18">
        <f t="shared" si="19"/>
        <v>0</v>
      </c>
      <c r="Z76" s="18">
        <f t="shared" si="19"/>
        <v>0</v>
      </c>
      <c r="AA76" s="18">
        <f t="shared" si="19"/>
        <v>0</v>
      </c>
      <c r="AB76" s="18">
        <f t="shared" si="19"/>
        <v>0</v>
      </c>
      <c r="AC76" s="18">
        <f t="shared" si="19"/>
        <v>0</v>
      </c>
    </row>
    <row r="77" spans="1:29" ht="15.75">
      <c r="A77" s="28"/>
      <c r="B77" s="29" t="s">
        <v>26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</row>
    <row r="78" spans="1:29" ht="15.75">
      <c r="A78" s="28" t="s">
        <v>142</v>
      </c>
      <c r="B78" s="29" t="s">
        <v>143</v>
      </c>
      <c r="C78" s="25">
        <f t="shared" ref="C78:D83" si="20">F78+H78+J78+L78+N78+P78+R78+T78+V78+X78+Z78+AB78</f>
        <v>167.92377999999999</v>
      </c>
      <c r="D78" s="25">
        <f t="shared" si="20"/>
        <v>160.98452000000003</v>
      </c>
      <c r="E78" s="25">
        <f t="shared" ref="E78:E83" si="21">D78/C78*100</f>
        <v>95.86761327073512</v>
      </c>
      <c r="F78" s="25">
        <v>75.804159999999996</v>
      </c>
      <c r="G78" s="25">
        <v>47.460810000000002</v>
      </c>
      <c r="H78" s="25">
        <v>75.119619999999998</v>
      </c>
      <c r="I78" s="25">
        <f>95.53019-G78</f>
        <v>48.069380000000002</v>
      </c>
      <c r="J78" s="25">
        <v>0</v>
      </c>
      <c r="K78" s="25">
        <v>48.462440000000001</v>
      </c>
      <c r="L78" s="25">
        <v>17</v>
      </c>
      <c r="M78" s="25">
        <v>16.991890000000001</v>
      </c>
      <c r="N78" s="25">
        <v>0</v>
      </c>
      <c r="O78" s="25">
        <v>0</v>
      </c>
      <c r="P78" s="25">
        <v>0</v>
      </c>
      <c r="Q78" s="25">
        <v>0</v>
      </c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</row>
    <row r="79" spans="1:29" s="44" customFormat="1" ht="18">
      <c r="A79" s="28" t="s">
        <v>144</v>
      </c>
      <c r="B79" s="29" t="s">
        <v>145</v>
      </c>
      <c r="C79" s="25">
        <f t="shared" si="20"/>
        <v>181.77553</v>
      </c>
      <c r="D79" s="25">
        <f t="shared" si="20"/>
        <v>171.38409999999999</v>
      </c>
      <c r="E79" s="25">
        <f t="shared" si="21"/>
        <v>94.283372464929684</v>
      </c>
      <c r="F79" s="25">
        <v>28.668759999999999</v>
      </c>
      <c r="G79" s="25">
        <v>26.674949999999999</v>
      </c>
      <c r="H79" s="25">
        <v>27.814769999999999</v>
      </c>
      <c r="I79" s="25">
        <f>52.54813-G79</f>
        <v>25.873180000000001</v>
      </c>
      <c r="J79" s="25">
        <v>27.681999999999999</v>
      </c>
      <c r="K79" s="25">
        <v>27.1373</v>
      </c>
      <c r="L79" s="25">
        <v>35.86</v>
      </c>
      <c r="M79" s="25">
        <v>34.004730000000002</v>
      </c>
      <c r="N79" s="25">
        <v>30.89</v>
      </c>
      <c r="O79" s="25">
        <v>25.8826</v>
      </c>
      <c r="P79" s="25">
        <v>30.86</v>
      </c>
      <c r="Q79" s="25">
        <v>31.811340000000001</v>
      </c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</row>
    <row r="80" spans="1:29" s="44" customFormat="1" ht="18">
      <c r="A80" s="28" t="s">
        <v>146</v>
      </c>
      <c r="B80" s="29" t="s">
        <v>147</v>
      </c>
      <c r="C80" s="25">
        <f t="shared" si="20"/>
        <v>770.74460999999997</v>
      </c>
      <c r="D80" s="25">
        <f t="shared" si="20"/>
        <v>640.52978000000007</v>
      </c>
      <c r="E80" s="25">
        <f t="shared" si="21"/>
        <v>83.105320710578837</v>
      </c>
      <c r="F80" s="25">
        <v>173.11260999999999</v>
      </c>
      <c r="G80" s="25">
        <v>21.868040000000001</v>
      </c>
      <c r="H80" s="25">
        <v>140.327</v>
      </c>
      <c r="I80" s="25">
        <f>161.00578-G80</f>
        <v>139.13773999999998</v>
      </c>
      <c r="J80" s="25">
        <v>140.12799999999999</v>
      </c>
      <c r="K80" s="25">
        <f>277.79447-I80-G80</f>
        <v>116.78869</v>
      </c>
      <c r="L80" s="25">
        <v>145.00200000000001</v>
      </c>
      <c r="M80" s="25">
        <v>146.38051999999999</v>
      </c>
      <c r="N80" s="25">
        <v>86.174999999999997</v>
      </c>
      <c r="O80" s="25">
        <v>112.36462</v>
      </c>
      <c r="P80" s="25">
        <v>86</v>
      </c>
      <c r="Q80" s="25">
        <v>103.99017000000001</v>
      </c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</row>
    <row r="81" spans="1:29" s="44" customFormat="1" ht="18">
      <c r="A81" s="28" t="s">
        <v>148</v>
      </c>
      <c r="B81" s="29" t="s">
        <v>149</v>
      </c>
      <c r="C81" s="25">
        <f t="shared" si="20"/>
        <v>414.03700000000003</v>
      </c>
      <c r="D81" s="25">
        <f t="shared" si="20"/>
        <v>399.39780999999994</v>
      </c>
      <c r="E81" s="25">
        <f t="shared" si="21"/>
        <v>96.464279762436661</v>
      </c>
      <c r="F81" s="25">
        <v>260.22800000000001</v>
      </c>
      <c r="G81" s="25">
        <v>-4.20106</v>
      </c>
      <c r="H81" s="25">
        <v>88.084999999999994</v>
      </c>
      <c r="I81" s="25">
        <f>116.05522-G81</f>
        <v>120.25628</v>
      </c>
      <c r="J81" s="25">
        <v>6.4000000000000001E-2</v>
      </c>
      <c r="K81" s="25">
        <f>256.72384-I81-G81</f>
        <v>140.66862</v>
      </c>
      <c r="L81" s="25">
        <v>16.626999999999999</v>
      </c>
      <c r="M81" s="25">
        <v>90.384379999999993</v>
      </c>
      <c r="N81" s="25">
        <v>39.033000000000001</v>
      </c>
      <c r="O81" s="25">
        <v>42.116720000000001</v>
      </c>
      <c r="P81" s="25">
        <v>10</v>
      </c>
      <c r="Q81" s="25">
        <v>10.17287</v>
      </c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29" s="44" customFormat="1" ht="63" customHeight="1">
      <c r="A82" s="30" t="s">
        <v>150</v>
      </c>
      <c r="B82" s="31" t="s">
        <v>151</v>
      </c>
      <c r="C82" s="18">
        <f t="shared" si="20"/>
        <v>0</v>
      </c>
      <c r="D82" s="18">
        <f t="shared" si="20"/>
        <v>0</v>
      </c>
      <c r="E82" s="18" t="e">
        <f t="shared" si="21"/>
        <v>#DIV/0!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</row>
    <row r="83" spans="1:29" s="44" customFormat="1" ht="19.149999999999999" customHeight="1">
      <c r="A83" s="30" t="s">
        <v>152</v>
      </c>
      <c r="B83" s="31" t="s">
        <v>153</v>
      </c>
      <c r="C83" s="18">
        <f t="shared" si="20"/>
        <v>372.45400000000001</v>
      </c>
      <c r="D83" s="18">
        <f t="shared" si="20"/>
        <v>301.19304</v>
      </c>
      <c r="E83" s="18">
        <f t="shared" si="21"/>
        <v>80.86717822872086</v>
      </c>
      <c r="F83" s="18">
        <f t="shared" ref="F83:AC83" si="22">SUM(F85:F86)</f>
        <v>49.182000000000002</v>
      </c>
      <c r="G83" s="18">
        <f t="shared" si="22"/>
        <v>29.254289999999997</v>
      </c>
      <c r="H83" s="18">
        <f t="shared" si="22"/>
        <v>48.725000000000001</v>
      </c>
      <c r="I83" s="18">
        <f t="shared" si="22"/>
        <v>44.145150000000001</v>
      </c>
      <c r="J83" s="18">
        <f t="shared" si="22"/>
        <v>51.572000000000003</v>
      </c>
      <c r="K83" s="18">
        <f t="shared" si="22"/>
        <v>39.390160000000009</v>
      </c>
      <c r="L83" s="18">
        <f t="shared" si="22"/>
        <v>74.325000000000003</v>
      </c>
      <c r="M83" s="18">
        <f t="shared" si="22"/>
        <v>64.370750000000001</v>
      </c>
      <c r="N83" s="18">
        <f t="shared" si="22"/>
        <v>74.325000000000003</v>
      </c>
      <c r="O83" s="18">
        <f t="shared" si="22"/>
        <v>64.012740000000008</v>
      </c>
      <c r="P83" s="18">
        <f t="shared" si="22"/>
        <v>74.325000000000003</v>
      </c>
      <c r="Q83" s="18">
        <f t="shared" si="22"/>
        <v>60.019949999999994</v>
      </c>
      <c r="R83" s="18">
        <f t="shared" si="22"/>
        <v>0</v>
      </c>
      <c r="S83" s="18">
        <f t="shared" si="22"/>
        <v>0</v>
      </c>
      <c r="T83" s="18">
        <f t="shared" si="22"/>
        <v>0</v>
      </c>
      <c r="U83" s="18">
        <f t="shared" si="22"/>
        <v>0</v>
      </c>
      <c r="V83" s="18">
        <f t="shared" si="22"/>
        <v>0</v>
      </c>
      <c r="W83" s="18">
        <f t="shared" si="22"/>
        <v>0</v>
      </c>
      <c r="X83" s="18">
        <f t="shared" si="22"/>
        <v>0</v>
      </c>
      <c r="Y83" s="18">
        <f t="shared" si="22"/>
        <v>0</v>
      </c>
      <c r="Z83" s="18">
        <f t="shared" si="22"/>
        <v>0</v>
      </c>
      <c r="AA83" s="18">
        <f t="shared" si="22"/>
        <v>0</v>
      </c>
      <c r="AB83" s="18">
        <f t="shared" si="22"/>
        <v>0</v>
      </c>
      <c r="AC83" s="18">
        <f t="shared" si="22"/>
        <v>0</v>
      </c>
    </row>
    <row r="84" spans="1:29" s="44" customFormat="1" ht="18">
      <c r="A84" s="28"/>
      <c r="B84" s="29" t="s">
        <v>26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</row>
    <row r="85" spans="1:29" s="44" customFormat="1" ht="31.5">
      <c r="A85" s="28" t="s">
        <v>154</v>
      </c>
      <c r="B85" s="29" t="s">
        <v>155</v>
      </c>
      <c r="C85" s="25">
        <f t="shared" ref="C85:D87" si="23">F85+H85+J85+L85+N85+P85+R85+T85+V85+X85+Z85+AB85</f>
        <v>148.35</v>
      </c>
      <c r="D85" s="25">
        <f t="shared" si="23"/>
        <v>81.151730000000001</v>
      </c>
      <c r="E85" s="25">
        <f>D85/C85*100</f>
        <v>54.702885069093362</v>
      </c>
      <c r="F85" s="25">
        <v>24.725000000000001</v>
      </c>
      <c r="G85" s="25">
        <v>13.329599999999999</v>
      </c>
      <c r="H85" s="25">
        <v>24.725000000000001</v>
      </c>
      <c r="I85" s="25">
        <f>27.7081-G85</f>
        <v>14.378500000000003</v>
      </c>
      <c r="J85" s="25">
        <v>24.725000000000001</v>
      </c>
      <c r="K85" s="25">
        <v>14.378500000000001</v>
      </c>
      <c r="L85" s="25">
        <v>24.725000000000001</v>
      </c>
      <c r="M85" s="25">
        <v>13.75714</v>
      </c>
      <c r="N85" s="25">
        <v>24.725000000000001</v>
      </c>
      <c r="O85" s="25">
        <v>12.646599999999999</v>
      </c>
      <c r="P85" s="25">
        <v>24.725000000000001</v>
      </c>
      <c r="Q85" s="25">
        <v>12.661390000000001</v>
      </c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29" s="44" customFormat="1" ht="18">
      <c r="A86" s="28" t="s">
        <v>156</v>
      </c>
      <c r="B86" s="29" t="s">
        <v>157</v>
      </c>
      <c r="C86" s="25">
        <f t="shared" si="23"/>
        <v>224.10399999999998</v>
      </c>
      <c r="D86" s="25">
        <f t="shared" si="23"/>
        <v>220.04131000000001</v>
      </c>
      <c r="E86" s="25">
        <f>D86/C86*100</f>
        <v>98.187140791775263</v>
      </c>
      <c r="F86" s="25">
        <v>24.457000000000001</v>
      </c>
      <c r="G86" s="25">
        <v>15.92469</v>
      </c>
      <c r="H86" s="25">
        <v>24</v>
      </c>
      <c r="I86" s="25">
        <f>45.69134-G86</f>
        <v>29.766649999999998</v>
      </c>
      <c r="J86" s="25">
        <v>26.847000000000001</v>
      </c>
      <c r="K86" s="25">
        <f>70.703-I86-G86</f>
        <v>25.011660000000006</v>
      </c>
      <c r="L86" s="25">
        <v>49.6</v>
      </c>
      <c r="M86" s="25">
        <v>50.613610000000001</v>
      </c>
      <c r="N86" s="25">
        <v>49.6</v>
      </c>
      <c r="O86" s="25">
        <v>51.366140000000001</v>
      </c>
      <c r="P86" s="25">
        <v>49.6</v>
      </c>
      <c r="Q86" s="25">
        <v>47.358559999999997</v>
      </c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29" s="44" customFormat="1" ht="18">
      <c r="A87" s="30" t="s">
        <v>158</v>
      </c>
      <c r="B87" s="31" t="s">
        <v>159</v>
      </c>
      <c r="C87" s="18">
        <f t="shared" si="23"/>
        <v>7.6050000000000004</v>
      </c>
      <c r="D87" s="18">
        <f t="shared" si="23"/>
        <v>4.8539999999999992</v>
      </c>
      <c r="E87" s="18">
        <f>D87/C87*100</f>
        <v>63.826429980276124</v>
      </c>
      <c r="F87" s="18">
        <v>3.2549999999999999</v>
      </c>
      <c r="G87" s="18">
        <v>0</v>
      </c>
      <c r="H87" s="18">
        <v>3.55</v>
      </c>
      <c r="I87" s="18">
        <v>0</v>
      </c>
      <c r="J87" s="18">
        <v>0.4</v>
      </c>
      <c r="K87" s="18">
        <v>2.1019999999999999</v>
      </c>
      <c r="L87" s="18">
        <v>0</v>
      </c>
      <c r="M87" s="18">
        <v>0.4</v>
      </c>
      <c r="N87" s="18">
        <v>0</v>
      </c>
      <c r="O87" s="18">
        <v>0.25</v>
      </c>
      <c r="P87" s="18">
        <v>0.4</v>
      </c>
      <c r="Q87" s="18">
        <v>2.1019999999999999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45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</row>
    <row r="88" spans="1:29" s="44" customFormat="1" ht="36" customHeight="1">
      <c r="A88" s="28"/>
      <c r="B88" s="46" t="s">
        <v>160</v>
      </c>
      <c r="C88" s="47">
        <f t="shared" ref="C88:AC88" si="24">C9+C10+C11+C27+C41+C42+C75+C76+C82+C83+C87</f>
        <v>21675.702270000002</v>
      </c>
      <c r="D88" s="47">
        <f t="shared" si="24"/>
        <v>18288.864799999999</v>
      </c>
      <c r="E88" s="47" t="e">
        <f t="shared" si="24"/>
        <v>#DIV/0!</v>
      </c>
      <c r="F88" s="47">
        <f t="shared" si="24"/>
        <v>4653.726279999999</v>
      </c>
      <c r="G88" s="47">
        <f t="shared" si="24"/>
        <v>3688.7256800000005</v>
      </c>
      <c r="H88" s="47">
        <f t="shared" si="24"/>
        <v>4343.7561300000007</v>
      </c>
      <c r="I88" s="47">
        <f t="shared" si="24"/>
        <v>4155.1183700000001</v>
      </c>
      <c r="J88" s="47">
        <f t="shared" si="24"/>
        <v>5547.8324400000001</v>
      </c>
      <c r="K88" s="47">
        <f t="shared" si="24"/>
        <v>4678.5771400000003</v>
      </c>
      <c r="L88" s="47">
        <f t="shared" si="24"/>
        <v>3303.8547999999992</v>
      </c>
      <c r="M88" s="47">
        <f t="shared" si="24"/>
        <v>2609.0727499999994</v>
      </c>
      <c r="N88" s="47">
        <f t="shared" si="24"/>
        <v>1969.9846199999999</v>
      </c>
      <c r="O88" s="84">
        <f t="shared" si="24"/>
        <v>1950.72586</v>
      </c>
      <c r="P88" s="47">
        <f t="shared" si="24"/>
        <v>1856.548</v>
      </c>
      <c r="Q88" s="47">
        <f t="shared" si="24"/>
        <v>1206.6451999999997</v>
      </c>
      <c r="R88" s="47">
        <f t="shared" si="24"/>
        <v>0</v>
      </c>
      <c r="S88" s="47">
        <f t="shared" si="24"/>
        <v>0</v>
      </c>
      <c r="T88" s="47">
        <f t="shared" si="24"/>
        <v>0</v>
      </c>
      <c r="U88" s="47">
        <f t="shared" si="24"/>
        <v>0</v>
      </c>
      <c r="V88" s="47">
        <f t="shared" si="24"/>
        <v>0</v>
      </c>
      <c r="W88" s="47">
        <f t="shared" si="24"/>
        <v>-5.0000000000000002E-5</v>
      </c>
      <c r="X88" s="47">
        <f t="shared" si="24"/>
        <v>0</v>
      </c>
      <c r="Y88" s="47">
        <f t="shared" si="24"/>
        <v>-5.0000000000000002E-5</v>
      </c>
      <c r="Z88" s="47">
        <f t="shared" si="24"/>
        <v>0</v>
      </c>
      <c r="AA88" s="47">
        <f t="shared" si="24"/>
        <v>-5.0000000000000002E-5</v>
      </c>
      <c r="AB88" s="47">
        <f t="shared" si="24"/>
        <v>0</v>
      </c>
      <c r="AC88" s="47">
        <f t="shared" si="24"/>
        <v>-5.0000000000000002E-5</v>
      </c>
    </row>
    <row r="89" spans="1:29" s="44" customFormat="1" ht="18">
      <c r="A89" s="48"/>
      <c r="B89" s="7"/>
      <c r="C89" s="49"/>
      <c r="D89" s="49"/>
      <c r="E89" s="49"/>
      <c r="F89" s="50"/>
      <c r="G89" s="51"/>
      <c r="H89" s="50"/>
      <c r="I89" s="49"/>
      <c r="J89" s="50"/>
      <c r="K89" s="51"/>
      <c r="L89" s="50"/>
      <c r="M89" s="52"/>
      <c r="N89" s="50"/>
      <c r="O89" s="52"/>
      <c r="P89" s="50"/>
      <c r="Q89" s="53"/>
      <c r="R89" s="54"/>
      <c r="S89" s="53"/>
      <c r="T89" s="54"/>
      <c r="U89" s="53"/>
      <c r="V89" s="54"/>
      <c r="W89" s="53"/>
      <c r="X89" s="54"/>
      <c r="Y89" s="53"/>
      <c r="Z89" s="55"/>
      <c r="AB89" s="55"/>
    </row>
    <row r="90" spans="1:29" s="44" customFormat="1" ht="18.75">
      <c r="A90" s="48"/>
      <c r="B90" s="56" t="s">
        <v>161</v>
      </c>
      <c r="C90" s="49"/>
      <c r="D90" s="49"/>
      <c r="E90" s="57"/>
      <c r="F90" s="49"/>
      <c r="G90" s="58" t="s">
        <v>162</v>
      </c>
      <c r="H90" s="49"/>
      <c r="I90" s="49"/>
      <c r="J90" s="49"/>
      <c r="K90" s="49"/>
      <c r="L90" s="59"/>
      <c r="M90" s="60"/>
      <c r="N90" s="59"/>
      <c r="O90" s="61"/>
      <c r="P90" s="59"/>
      <c r="Q90" s="62"/>
      <c r="S90" s="61"/>
      <c r="U90" s="61"/>
      <c r="W90" s="61"/>
      <c r="Y90" s="61"/>
      <c r="AA90" s="61"/>
      <c r="AC90" s="61"/>
    </row>
    <row r="91" spans="1:29" s="44" customFormat="1" ht="16.5" customHeight="1">
      <c r="A91" s="48"/>
      <c r="B91" s="7"/>
      <c r="C91" s="49"/>
      <c r="D91" s="49"/>
      <c r="E91" s="63" t="s">
        <v>163</v>
      </c>
      <c r="F91" s="49"/>
      <c r="G91" s="49"/>
      <c r="H91" s="49"/>
      <c r="I91" s="49"/>
      <c r="J91" s="49"/>
      <c r="K91" s="49"/>
      <c r="L91" s="59"/>
      <c r="M91" s="61"/>
      <c r="N91" s="61"/>
      <c r="O91" s="61"/>
      <c r="P91" s="61"/>
      <c r="Q91" s="61"/>
    </row>
    <row r="92" spans="1:29" s="44" customFormat="1" ht="18">
      <c r="A92" s="48"/>
      <c r="B92" s="7"/>
      <c r="C92" s="49"/>
      <c r="D92" s="49"/>
      <c r="E92" s="49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64"/>
      <c r="R92" s="64"/>
      <c r="S92" s="64"/>
      <c r="T92" s="64"/>
      <c r="U92" s="64"/>
      <c r="V92" s="64"/>
      <c r="W92" s="64"/>
      <c r="X92" s="53"/>
      <c r="Y92" s="53"/>
      <c r="Z92" s="53"/>
      <c r="AA92" s="53"/>
      <c r="AB92" s="53"/>
      <c r="AC92" s="53"/>
    </row>
    <row r="93" spans="1:29" s="44" customFormat="1" ht="18">
      <c r="A93" s="48"/>
      <c r="B93" s="7"/>
      <c r="C93" s="49"/>
      <c r="D93" s="65"/>
      <c r="E93" s="49"/>
      <c r="F93" s="51"/>
      <c r="G93" s="51"/>
      <c r="H93" s="51"/>
      <c r="I93" s="51"/>
      <c r="J93" s="51"/>
      <c r="K93" s="51"/>
      <c r="L93" s="52"/>
      <c r="M93" s="52"/>
      <c r="N93" s="52"/>
      <c r="O93" s="52"/>
      <c r="P93" s="52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</row>
    <row r="94" spans="1:29" s="44" customFormat="1" ht="38.25" customHeight="1">
      <c r="A94" s="7"/>
      <c r="B94" s="7"/>
      <c r="C94" s="49"/>
      <c r="D94" s="49"/>
      <c r="E94" s="49"/>
      <c r="F94" s="49"/>
      <c r="G94" s="49"/>
      <c r="H94" s="49"/>
      <c r="I94" s="49"/>
      <c r="J94" s="49"/>
      <c r="K94" s="49"/>
      <c r="L94" s="59"/>
      <c r="M94" s="59"/>
      <c r="N94" s="59"/>
      <c r="O94" s="59"/>
      <c r="P94" s="59"/>
    </row>
    <row r="95" spans="1:29" s="44" customFormat="1" ht="18">
      <c r="A95" s="7"/>
      <c r="B95" s="7"/>
      <c r="C95" s="49"/>
      <c r="D95" s="49"/>
      <c r="E95" s="4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</row>
    <row r="96" spans="1:29" s="44" customFormat="1" ht="40.5" customHeight="1">
      <c r="A96" s="7"/>
      <c r="B96" s="7"/>
      <c r="C96" s="49"/>
      <c r="D96" s="49"/>
      <c r="E96" s="4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</row>
    <row r="97" spans="2:16" s="44" customFormat="1" ht="18">
      <c r="B97" s="66"/>
      <c r="C97" s="67"/>
      <c r="D97" s="67"/>
      <c r="E97" s="67"/>
      <c r="F97" s="67"/>
      <c r="G97" s="67"/>
      <c r="H97" s="67"/>
      <c r="I97" s="67"/>
      <c r="J97" s="67"/>
      <c r="K97" s="59"/>
      <c r="L97" s="59"/>
      <c r="M97" s="59"/>
      <c r="N97" s="59"/>
      <c r="O97" s="59"/>
      <c r="P97" s="59"/>
    </row>
    <row r="98" spans="2:16" s="44" customFormat="1" ht="18">
      <c r="B98" s="66"/>
      <c r="C98" s="67"/>
      <c r="D98" s="67"/>
      <c r="E98" s="67"/>
      <c r="F98" s="67"/>
      <c r="G98" s="67"/>
      <c r="H98" s="67"/>
      <c r="I98" s="67"/>
      <c r="J98" s="67"/>
      <c r="K98" s="59"/>
      <c r="L98" s="59"/>
      <c r="M98" s="59"/>
      <c r="N98" s="59"/>
      <c r="O98" s="59"/>
      <c r="P98" s="59"/>
    </row>
    <row r="99" spans="2:16" s="44" customFormat="1" ht="18">
      <c r="B99" s="66"/>
      <c r="C99" s="67"/>
      <c r="D99" s="67"/>
      <c r="E99" s="67"/>
      <c r="F99" s="67"/>
      <c r="G99" s="67"/>
      <c r="H99" s="67"/>
      <c r="I99" s="67"/>
      <c r="J99" s="67"/>
      <c r="K99" s="59"/>
      <c r="L99" s="59"/>
      <c r="M99" s="59"/>
      <c r="N99" s="59"/>
      <c r="O99" s="59"/>
      <c r="P99" s="59"/>
    </row>
    <row r="100" spans="2:16">
      <c r="B100" s="66"/>
      <c r="C100" s="67"/>
      <c r="D100" s="67"/>
      <c r="E100" s="67"/>
      <c r="F100" s="67"/>
      <c r="G100" s="67"/>
      <c r="H100" s="67"/>
      <c r="I100" s="67"/>
      <c r="J100" s="67"/>
      <c r="K100" s="68"/>
      <c r="L100" s="68"/>
      <c r="M100" s="68"/>
      <c r="N100" s="68"/>
      <c r="O100" s="68"/>
      <c r="P100" s="68"/>
    </row>
    <row r="101" spans="2:16">
      <c r="B101" s="66"/>
      <c r="C101" s="67"/>
      <c r="D101" s="67"/>
      <c r="E101" s="67"/>
      <c r="F101" s="67"/>
      <c r="G101" s="67"/>
      <c r="H101" s="67"/>
      <c r="I101" s="67"/>
      <c r="J101" s="67"/>
      <c r="K101" s="68"/>
      <c r="L101" s="68"/>
      <c r="M101" s="68"/>
      <c r="N101" s="68"/>
      <c r="O101" s="68"/>
      <c r="P101" s="68"/>
    </row>
    <row r="102" spans="2:16">
      <c r="B102" s="66"/>
      <c r="C102" s="67"/>
      <c r="D102" s="67"/>
      <c r="E102" s="67"/>
      <c r="F102" s="67"/>
      <c r="G102" s="67"/>
      <c r="H102" s="67"/>
      <c r="I102" s="67"/>
      <c r="J102" s="67"/>
      <c r="K102" s="68"/>
      <c r="L102" s="68"/>
      <c r="M102" s="68"/>
      <c r="N102" s="68"/>
      <c r="O102" s="68"/>
      <c r="P102" s="68"/>
    </row>
    <row r="103" spans="2:16">
      <c r="B103" s="66"/>
      <c r="C103" s="67"/>
      <c r="D103" s="67"/>
      <c r="E103" s="67"/>
      <c r="F103" s="67"/>
      <c r="G103" s="67"/>
      <c r="H103" s="67"/>
      <c r="I103" s="67"/>
      <c r="J103" s="67"/>
      <c r="K103" s="68"/>
      <c r="L103" s="68"/>
      <c r="M103" s="68"/>
      <c r="N103" s="68"/>
      <c r="O103" s="68"/>
      <c r="P103" s="68"/>
    </row>
    <row r="104" spans="2:16">
      <c r="B104" s="66"/>
      <c r="C104" s="67"/>
      <c r="D104" s="67"/>
      <c r="E104" s="67"/>
      <c r="F104" s="67"/>
      <c r="G104" s="67"/>
      <c r="H104" s="67"/>
      <c r="I104" s="67"/>
      <c r="J104" s="67"/>
      <c r="K104" s="68"/>
      <c r="L104" s="68"/>
      <c r="M104" s="68"/>
      <c r="N104" s="68"/>
      <c r="O104" s="68"/>
      <c r="P104" s="68"/>
    </row>
    <row r="105" spans="2:16">
      <c r="B105" s="66"/>
      <c r="C105" s="67"/>
      <c r="D105" s="67"/>
      <c r="E105" s="67"/>
      <c r="F105" s="67"/>
      <c r="G105" s="67"/>
      <c r="H105" s="67"/>
      <c r="I105" s="67"/>
      <c r="J105" s="67"/>
      <c r="K105" s="68"/>
      <c r="L105" s="68"/>
      <c r="M105" s="68"/>
      <c r="N105" s="68"/>
      <c r="O105" s="68"/>
      <c r="P105" s="68"/>
    </row>
    <row r="106" spans="2:16">
      <c r="B106" s="66"/>
      <c r="C106" s="67"/>
      <c r="D106" s="67"/>
      <c r="E106" s="67"/>
      <c r="F106" s="67"/>
      <c r="G106" s="67"/>
      <c r="H106" s="67"/>
      <c r="I106" s="67"/>
      <c r="J106" s="67"/>
      <c r="K106" s="68"/>
      <c r="L106" s="68"/>
      <c r="M106" s="68"/>
      <c r="N106" s="68"/>
      <c r="O106" s="68"/>
      <c r="P106" s="68"/>
    </row>
    <row r="107" spans="2:16">
      <c r="B107" s="66"/>
      <c r="C107" s="67"/>
      <c r="D107" s="67"/>
      <c r="E107" s="67"/>
      <c r="F107" s="67"/>
      <c r="G107" s="67"/>
      <c r="H107" s="67"/>
      <c r="I107" s="67"/>
      <c r="J107" s="67"/>
      <c r="K107" s="68"/>
      <c r="L107" s="68"/>
      <c r="M107" s="68"/>
      <c r="N107" s="68"/>
      <c r="O107" s="68"/>
      <c r="P107" s="68"/>
    </row>
    <row r="108" spans="2:16">
      <c r="B108" s="66"/>
      <c r="C108" s="67"/>
      <c r="D108" s="67"/>
      <c r="E108" s="67"/>
      <c r="F108" s="67"/>
      <c r="G108" s="67"/>
      <c r="H108" s="67"/>
      <c r="I108" s="67"/>
      <c r="J108" s="67"/>
      <c r="K108" s="68"/>
      <c r="L108" s="68"/>
      <c r="M108" s="68"/>
      <c r="N108" s="68"/>
      <c r="O108" s="68"/>
      <c r="P108" s="68"/>
    </row>
    <row r="109" spans="2:16">
      <c r="B109" s="66"/>
      <c r="C109" s="67"/>
      <c r="D109" s="67"/>
      <c r="E109" s="67"/>
      <c r="F109" s="67"/>
      <c r="G109" s="67"/>
      <c r="H109" s="67"/>
      <c r="I109" s="67"/>
      <c r="J109" s="67"/>
      <c r="K109" s="68"/>
      <c r="L109" s="68"/>
      <c r="M109" s="68"/>
      <c r="N109" s="68"/>
      <c r="O109" s="68"/>
      <c r="P109" s="68"/>
    </row>
    <row r="110" spans="2:16">
      <c r="B110" s="66"/>
      <c r="C110" s="67"/>
      <c r="D110" s="67"/>
      <c r="E110" s="67"/>
      <c r="F110" s="67"/>
      <c r="G110" s="67"/>
      <c r="H110" s="67"/>
      <c r="I110" s="67"/>
      <c r="J110" s="67"/>
      <c r="K110" s="68"/>
      <c r="L110" s="68"/>
      <c r="M110" s="68"/>
      <c r="N110" s="68"/>
      <c r="O110" s="68"/>
      <c r="P110" s="68"/>
    </row>
    <row r="111" spans="2:16">
      <c r="B111" s="66"/>
      <c r="C111" s="67"/>
      <c r="D111" s="67"/>
      <c r="E111" s="67"/>
      <c r="F111" s="67"/>
      <c r="G111" s="67"/>
      <c r="H111" s="67"/>
      <c r="I111" s="67"/>
      <c r="J111" s="67"/>
      <c r="K111" s="68"/>
      <c r="L111" s="68"/>
      <c r="M111" s="68"/>
      <c r="N111" s="68"/>
      <c r="O111" s="68"/>
      <c r="P111" s="68"/>
    </row>
    <row r="112" spans="2:16">
      <c r="B112" s="66"/>
      <c r="C112" s="67"/>
      <c r="D112" s="67"/>
      <c r="E112" s="67"/>
      <c r="F112" s="67"/>
      <c r="G112" s="67"/>
      <c r="H112" s="67"/>
      <c r="I112" s="67"/>
      <c r="J112" s="67"/>
      <c r="K112" s="68"/>
      <c r="L112" s="68"/>
      <c r="M112" s="68"/>
      <c r="N112" s="68"/>
      <c r="O112" s="68"/>
      <c r="P112" s="68"/>
    </row>
    <row r="113" spans="2:16">
      <c r="B113" s="66"/>
      <c r="C113" s="67"/>
      <c r="D113" s="67"/>
      <c r="E113" s="67"/>
      <c r="F113" s="67"/>
      <c r="G113" s="67"/>
      <c r="H113" s="67"/>
      <c r="I113" s="67"/>
      <c r="J113" s="67"/>
      <c r="K113" s="68"/>
      <c r="L113" s="68"/>
      <c r="M113" s="68"/>
      <c r="N113" s="68"/>
      <c r="O113" s="68"/>
      <c r="P113" s="68"/>
    </row>
    <row r="114" spans="2:16">
      <c r="B114" s="66"/>
      <c r="C114" s="67"/>
      <c r="D114" s="67"/>
      <c r="E114" s="67"/>
      <c r="F114" s="67"/>
      <c r="G114" s="67"/>
      <c r="H114" s="67"/>
      <c r="I114" s="67"/>
      <c r="J114" s="67"/>
      <c r="K114" s="68"/>
      <c r="L114" s="68"/>
      <c r="M114" s="68"/>
      <c r="N114" s="68"/>
      <c r="O114" s="68"/>
      <c r="P114" s="68"/>
    </row>
    <row r="115" spans="2:16">
      <c r="B115" s="66"/>
      <c r="C115" s="67"/>
      <c r="D115" s="67"/>
      <c r="E115" s="67"/>
      <c r="F115" s="67"/>
      <c r="G115" s="67"/>
      <c r="H115" s="67"/>
      <c r="I115" s="67"/>
      <c r="J115" s="67"/>
      <c r="K115" s="68"/>
      <c r="L115" s="68"/>
      <c r="M115" s="68"/>
      <c r="N115" s="68"/>
      <c r="O115" s="68"/>
      <c r="P115" s="68"/>
    </row>
    <row r="116" spans="2:16">
      <c r="B116" s="66"/>
      <c r="C116" s="67"/>
      <c r="D116" s="67"/>
      <c r="E116" s="67"/>
      <c r="F116" s="67"/>
      <c r="G116" s="67"/>
      <c r="H116" s="67"/>
      <c r="I116" s="67"/>
      <c r="J116" s="67"/>
      <c r="K116" s="68"/>
      <c r="L116" s="68"/>
      <c r="M116" s="68"/>
      <c r="N116" s="68"/>
      <c r="O116" s="68"/>
      <c r="P116" s="68"/>
    </row>
    <row r="117" spans="2:16">
      <c r="B117" s="66"/>
      <c r="C117" s="67"/>
      <c r="D117" s="67"/>
      <c r="E117" s="67"/>
      <c r="F117" s="67"/>
      <c r="G117" s="67"/>
      <c r="H117" s="67"/>
      <c r="I117" s="67"/>
      <c r="J117" s="67"/>
      <c r="K117" s="68"/>
      <c r="L117" s="68"/>
      <c r="M117" s="68"/>
      <c r="N117" s="68"/>
      <c r="O117" s="68"/>
      <c r="P117" s="68"/>
    </row>
    <row r="118" spans="2:16">
      <c r="B118" s="66"/>
      <c r="C118" s="67"/>
      <c r="D118" s="67"/>
      <c r="E118" s="67"/>
      <c r="F118" s="67"/>
      <c r="G118" s="67"/>
      <c r="H118" s="67"/>
      <c r="I118" s="67"/>
      <c r="J118" s="67"/>
      <c r="K118" s="68"/>
      <c r="L118" s="68"/>
      <c r="M118" s="68"/>
      <c r="N118" s="68"/>
      <c r="O118" s="68"/>
      <c r="P118" s="68"/>
    </row>
    <row r="119" spans="2:16">
      <c r="B119" s="66"/>
      <c r="C119" s="67"/>
      <c r="D119" s="67"/>
      <c r="E119" s="67"/>
      <c r="F119" s="67"/>
      <c r="G119" s="67"/>
      <c r="H119" s="67"/>
      <c r="I119" s="67"/>
      <c r="J119" s="67"/>
      <c r="K119" s="68"/>
      <c r="L119" s="68"/>
      <c r="M119" s="68"/>
      <c r="N119" s="68"/>
      <c r="O119" s="68"/>
      <c r="P119" s="68"/>
    </row>
    <row r="120" spans="2:16">
      <c r="B120" s="66"/>
      <c r="C120" s="67"/>
      <c r="D120" s="67"/>
      <c r="E120" s="67"/>
      <c r="F120" s="67"/>
      <c r="G120" s="67"/>
      <c r="H120" s="67"/>
      <c r="I120" s="67"/>
      <c r="J120" s="67"/>
      <c r="K120" s="68"/>
      <c r="L120" s="68"/>
      <c r="M120" s="68"/>
      <c r="N120" s="68"/>
      <c r="O120" s="68"/>
      <c r="P120" s="68"/>
    </row>
    <row r="121" spans="2:16">
      <c r="B121" s="66"/>
      <c r="C121" s="67"/>
      <c r="D121" s="67"/>
      <c r="E121" s="67"/>
      <c r="F121" s="67"/>
      <c r="G121" s="67"/>
      <c r="H121" s="67"/>
      <c r="I121" s="67"/>
      <c r="J121" s="67"/>
      <c r="K121" s="68"/>
      <c r="L121" s="68"/>
      <c r="M121" s="68"/>
      <c r="N121" s="68"/>
      <c r="O121" s="68"/>
      <c r="P121" s="68"/>
    </row>
    <row r="122" spans="2:16">
      <c r="B122" s="66"/>
      <c r="C122" s="67"/>
      <c r="D122" s="67"/>
      <c r="E122" s="67"/>
      <c r="F122" s="67"/>
      <c r="G122" s="67"/>
      <c r="H122" s="67"/>
      <c r="I122" s="67"/>
      <c r="J122" s="67"/>
      <c r="K122" s="68"/>
      <c r="L122" s="68"/>
      <c r="M122" s="68"/>
      <c r="N122" s="68"/>
      <c r="O122" s="68"/>
      <c r="P122" s="68"/>
    </row>
    <row r="123" spans="2:16">
      <c r="B123" s="66"/>
      <c r="C123" s="67"/>
      <c r="D123" s="67"/>
      <c r="E123" s="67"/>
      <c r="F123" s="67"/>
      <c r="G123" s="67"/>
      <c r="H123" s="67"/>
      <c r="I123" s="67"/>
      <c r="J123" s="67"/>
      <c r="K123" s="68"/>
      <c r="L123" s="68"/>
      <c r="M123" s="68"/>
      <c r="N123" s="68"/>
      <c r="O123" s="68"/>
      <c r="P123" s="68"/>
    </row>
    <row r="124" spans="2:16">
      <c r="B124" s="66"/>
      <c r="C124" s="67"/>
      <c r="D124" s="67"/>
      <c r="E124" s="67"/>
      <c r="F124" s="67"/>
      <c r="G124" s="67"/>
      <c r="H124" s="67"/>
      <c r="I124" s="67"/>
      <c r="J124" s="67"/>
      <c r="K124" s="68"/>
      <c r="L124" s="68"/>
      <c r="M124" s="68"/>
      <c r="N124" s="68"/>
      <c r="O124" s="68"/>
      <c r="P124" s="68"/>
    </row>
    <row r="125" spans="2:16">
      <c r="B125" s="66"/>
      <c r="C125" s="67"/>
      <c r="D125" s="67"/>
      <c r="E125" s="67"/>
      <c r="F125" s="67"/>
      <c r="G125" s="67"/>
      <c r="H125" s="67"/>
      <c r="I125" s="67"/>
      <c r="J125" s="67"/>
      <c r="K125" s="68"/>
      <c r="L125" s="68"/>
      <c r="M125" s="68"/>
      <c r="N125" s="68"/>
      <c r="O125" s="68"/>
      <c r="P125" s="68"/>
    </row>
    <row r="126" spans="2:16">
      <c r="B126" s="66"/>
      <c r="C126" s="67"/>
      <c r="D126" s="67"/>
      <c r="E126" s="67"/>
      <c r="F126" s="67"/>
      <c r="G126" s="67"/>
      <c r="H126" s="67"/>
      <c r="I126" s="67"/>
      <c r="J126" s="67"/>
      <c r="K126" s="68"/>
      <c r="L126" s="68"/>
      <c r="M126" s="68"/>
      <c r="N126" s="68"/>
      <c r="O126" s="68"/>
      <c r="P126" s="68"/>
    </row>
    <row r="127" spans="2:16">
      <c r="B127" s="66"/>
      <c r="C127" s="67"/>
      <c r="D127" s="67"/>
      <c r="E127" s="67"/>
      <c r="F127" s="67"/>
      <c r="G127" s="67"/>
      <c r="H127" s="67"/>
      <c r="I127" s="67"/>
      <c r="J127" s="67"/>
      <c r="K127" s="68"/>
      <c r="L127" s="68"/>
      <c r="M127" s="68"/>
      <c r="N127" s="68"/>
      <c r="O127" s="68"/>
      <c r="P127" s="68"/>
    </row>
    <row r="128" spans="2:16">
      <c r="B128" s="66"/>
      <c r="C128" s="67"/>
      <c r="D128" s="67"/>
      <c r="E128" s="67"/>
      <c r="F128" s="67"/>
      <c r="G128" s="67"/>
      <c r="H128" s="67"/>
      <c r="I128" s="67"/>
      <c r="J128" s="67"/>
      <c r="K128" s="68"/>
      <c r="L128" s="68"/>
      <c r="M128" s="68"/>
      <c r="N128" s="68"/>
      <c r="O128" s="68"/>
      <c r="P128" s="68"/>
    </row>
    <row r="129" spans="2:16">
      <c r="B129" s="66"/>
      <c r="C129" s="67"/>
      <c r="D129" s="67"/>
      <c r="E129" s="67"/>
      <c r="F129" s="67"/>
      <c r="G129" s="67"/>
      <c r="H129" s="67"/>
      <c r="I129" s="67"/>
      <c r="J129" s="67"/>
      <c r="K129" s="68"/>
      <c r="L129" s="68"/>
      <c r="M129" s="68"/>
      <c r="N129" s="68"/>
      <c r="O129" s="68"/>
      <c r="P129" s="68"/>
    </row>
    <row r="130" spans="2:16">
      <c r="B130" s="66"/>
      <c r="C130" s="67"/>
      <c r="D130" s="67"/>
      <c r="E130" s="67"/>
      <c r="F130" s="67"/>
      <c r="G130" s="67"/>
      <c r="H130" s="67"/>
      <c r="I130" s="67"/>
      <c r="J130" s="67"/>
      <c r="K130" s="68"/>
      <c r="L130" s="68"/>
      <c r="M130" s="68"/>
      <c r="N130" s="68"/>
      <c r="O130" s="68"/>
      <c r="P130" s="68"/>
    </row>
    <row r="131" spans="2:16">
      <c r="B131" s="66"/>
      <c r="C131" s="67"/>
      <c r="D131" s="67"/>
      <c r="E131" s="67"/>
      <c r="F131" s="67"/>
      <c r="G131" s="67"/>
      <c r="H131" s="67"/>
      <c r="I131" s="67"/>
      <c r="J131" s="67"/>
      <c r="K131" s="68"/>
      <c r="L131" s="68"/>
      <c r="M131" s="68"/>
      <c r="N131" s="68"/>
      <c r="O131" s="68"/>
      <c r="P131" s="68"/>
    </row>
    <row r="132" spans="2:16">
      <c r="B132" s="66"/>
      <c r="C132" s="67"/>
      <c r="D132" s="67"/>
      <c r="E132" s="67"/>
      <c r="F132" s="67"/>
      <c r="G132" s="67"/>
      <c r="H132" s="67"/>
      <c r="I132" s="67"/>
      <c r="J132" s="67"/>
      <c r="K132" s="68"/>
      <c r="L132" s="68"/>
      <c r="M132" s="68"/>
      <c r="N132" s="68"/>
      <c r="O132" s="68"/>
      <c r="P132" s="68"/>
    </row>
    <row r="133" spans="2:16">
      <c r="B133" s="66"/>
      <c r="C133" s="67"/>
      <c r="D133" s="67"/>
      <c r="E133" s="67"/>
      <c r="F133" s="67"/>
      <c r="G133" s="67"/>
      <c r="H133" s="67"/>
      <c r="I133" s="67"/>
      <c r="J133" s="67"/>
      <c r="K133" s="68"/>
      <c r="L133" s="68"/>
      <c r="M133" s="68"/>
      <c r="N133" s="68"/>
      <c r="O133" s="68"/>
      <c r="P133" s="68"/>
    </row>
    <row r="134" spans="2:16">
      <c r="B134" s="66"/>
      <c r="C134" s="67"/>
      <c r="D134" s="67"/>
      <c r="E134" s="67"/>
      <c r="F134" s="67"/>
      <c r="G134" s="67"/>
      <c r="H134" s="67"/>
      <c r="I134" s="67"/>
      <c r="J134" s="67"/>
      <c r="K134" s="68"/>
      <c r="L134" s="68"/>
      <c r="M134" s="68"/>
      <c r="N134" s="68"/>
      <c r="O134" s="68"/>
      <c r="P134" s="68"/>
    </row>
    <row r="135" spans="2:16">
      <c r="B135" s="66"/>
      <c r="C135" s="67"/>
      <c r="D135" s="67"/>
      <c r="E135" s="67"/>
      <c r="F135" s="67"/>
      <c r="G135" s="67"/>
      <c r="H135" s="67"/>
      <c r="I135" s="67"/>
      <c r="J135" s="67"/>
      <c r="K135" s="68"/>
      <c r="L135" s="68"/>
      <c r="M135" s="68"/>
      <c r="N135" s="68"/>
      <c r="O135" s="68"/>
      <c r="P135" s="68"/>
    </row>
    <row r="136" spans="2:16">
      <c r="B136" s="66"/>
      <c r="C136" s="67"/>
      <c r="D136" s="67"/>
      <c r="E136" s="67"/>
      <c r="F136" s="67"/>
      <c r="G136" s="67"/>
      <c r="H136" s="67"/>
      <c r="I136" s="67"/>
      <c r="J136" s="67"/>
      <c r="K136" s="68"/>
      <c r="L136" s="68"/>
      <c r="M136" s="68"/>
      <c r="N136" s="68"/>
      <c r="O136" s="68"/>
      <c r="P136" s="68"/>
    </row>
    <row r="137" spans="2:16">
      <c r="B137" s="66"/>
      <c r="C137" s="67"/>
      <c r="D137" s="67"/>
      <c r="E137" s="67"/>
      <c r="F137" s="67"/>
      <c r="G137" s="67"/>
      <c r="H137" s="67"/>
      <c r="I137" s="67"/>
      <c r="J137" s="67"/>
      <c r="K137" s="68"/>
      <c r="L137" s="68"/>
      <c r="M137" s="68"/>
      <c r="N137" s="68"/>
      <c r="O137" s="68"/>
      <c r="P137" s="68"/>
    </row>
    <row r="138" spans="2:16">
      <c r="B138" s="66"/>
      <c r="C138" s="67"/>
      <c r="D138" s="67"/>
      <c r="E138" s="67"/>
      <c r="F138" s="67"/>
      <c r="G138" s="67"/>
      <c r="H138" s="67"/>
      <c r="I138" s="67"/>
      <c r="J138" s="67"/>
      <c r="K138" s="68"/>
      <c r="L138" s="68"/>
      <c r="M138" s="68"/>
      <c r="N138" s="68"/>
      <c r="O138" s="68"/>
      <c r="P138" s="68"/>
    </row>
    <row r="139" spans="2:16">
      <c r="B139" s="66"/>
      <c r="C139" s="67"/>
      <c r="D139" s="67"/>
      <c r="E139" s="67"/>
      <c r="F139" s="67"/>
      <c r="G139" s="67"/>
      <c r="H139" s="67"/>
      <c r="I139" s="67"/>
      <c r="J139" s="67"/>
      <c r="K139" s="68"/>
      <c r="L139" s="68"/>
      <c r="M139" s="68"/>
      <c r="N139" s="68"/>
      <c r="O139" s="68"/>
      <c r="P139" s="68"/>
    </row>
    <row r="140" spans="2:16">
      <c r="B140" s="66"/>
      <c r="C140" s="67"/>
      <c r="D140" s="67"/>
      <c r="E140" s="67"/>
      <c r="F140" s="67"/>
      <c r="G140" s="67"/>
      <c r="H140" s="67"/>
      <c r="I140" s="67"/>
      <c r="J140" s="67"/>
      <c r="K140" s="68"/>
      <c r="L140" s="68"/>
      <c r="M140" s="68"/>
      <c r="N140" s="68"/>
      <c r="O140" s="68"/>
      <c r="P140" s="68"/>
    </row>
    <row r="141" spans="2:16">
      <c r="B141" s="66"/>
      <c r="C141" s="67"/>
      <c r="D141" s="67"/>
      <c r="E141" s="67"/>
      <c r="F141" s="67"/>
      <c r="G141" s="67"/>
      <c r="H141" s="67"/>
      <c r="I141" s="67"/>
      <c r="J141" s="67"/>
      <c r="K141" s="68"/>
      <c r="L141" s="68"/>
      <c r="M141" s="68"/>
      <c r="N141" s="68"/>
      <c r="O141" s="68"/>
      <c r="P141" s="68"/>
    </row>
    <row r="142" spans="2:16">
      <c r="B142" s="66"/>
      <c r="C142" s="67"/>
      <c r="D142" s="67"/>
      <c r="E142" s="67"/>
      <c r="F142" s="67"/>
      <c r="G142" s="67"/>
      <c r="H142" s="67"/>
      <c r="I142" s="67"/>
      <c r="J142" s="67"/>
      <c r="K142" s="68"/>
      <c r="L142" s="68"/>
      <c r="M142" s="68"/>
      <c r="N142" s="68"/>
      <c r="O142" s="68"/>
      <c r="P142" s="68"/>
    </row>
    <row r="143" spans="2:16">
      <c r="B143" s="66"/>
      <c r="C143" s="67"/>
      <c r="D143" s="67"/>
      <c r="E143" s="67"/>
      <c r="F143" s="67"/>
      <c r="G143" s="67"/>
      <c r="H143" s="67"/>
      <c r="I143" s="67"/>
      <c r="J143" s="67"/>
      <c r="K143" s="68"/>
      <c r="L143" s="68"/>
      <c r="M143" s="68"/>
      <c r="N143" s="68"/>
      <c r="O143" s="68"/>
      <c r="P143" s="68"/>
    </row>
    <row r="144" spans="2:16">
      <c r="B144" s="66"/>
      <c r="C144" s="67"/>
      <c r="D144" s="67"/>
      <c r="E144" s="67"/>
      <c r="F144" s="67"/>
      <c r="G144" s="67"/>
      <c r="H144" s="67"/>
      <c r="I144" s="67"/>
      <c r="J144" s="67"/>
      <c r="K144" s="68"/>
      <c r="L144" s="68"/>
      <c r="M144" s="68"/>
      <c r="N144" s="68"/>
      <c r="O144" s="68"/>
      <c r="P144" s="68"/>
    </row>
    <row r="145" spans="2:16">
      <c r="B145" s="66"/>
      <c r="C145" s="67"/>
      <c r="D145" s="67"/>
      <c r="E145" s="67"/>
      <c r="F145" s="67"/>
      <c r="G145" s="67"/>
      <c r="H145" s="67"/>
      <c r="I145" s="67"/>
      <c r="J145" s="67"/>
      <c r="K145" s="68"/>
      <c r="L145" s="68"/>
      <c r="M145" s="68"/>
      <c r="N145" s="68"/>
      <c r="O145" s="68"/>
      <c r="P145" s="68"/>
    </row>
    <row r="146" spans="2:16">
      <c r="B146" s="66"/>
      <c r="C146" s="67"/>
      <c r="D146" s="67"/>
      <c r="E146" s="67"/>
      <c r="F146" s="67"/>
      <c r="G146" s="67"/>
      <c r="H146" s="67"/>
      <c r="I146" s="67"/>
      <c r="J146" s="67"/>
      <c r="K146" s="68"/>
      <c r="L146" s="68"/>
      <c r="M146" s="68"/>
      <c r="N146" s="68"/>
      <c r="O146" s="68"/>
      <c r="P146" s="68"/>
    </row>
    <row r="147" spans="2:16">
      <c r="B147" s="66"/>
      <c r="C147" s="67"/>
      <c r="D147" s="67"/>
      <c r="E147" s="67"/>
      <c r="F147" s="67"/>
      <c r="G147" s="67"/>
      <c r="H147" s="67"/>
      <c r="I147" s="67"/>
      <c r="J147" s="67"/>
      <c r="K147" s="68"/>
      <c r="L147" s="68"/>
      <c r="M147" s="68"/>
      <c r="N147" s="68"/>
      <c r="O147" s="68"/>
      <c r="P147" s="68"/>
    </row>
    <row r="148" spans="2:16">
      <c r="B148" s="66"/>
      <c r="C148" s="67"/>
      <c r="D148" s="67"/>
      <c r="E148" s="67"/>
      <c r="F148" s="67"/>
      <c r="G148" s="67"/>
      <c r="H148" s="67"/>
      <c r="I148" s="67"/>
      <c r="J148" s="67"/>
      <c r="K148" s="68"/>
      <c r="L148" s="68"/>
      <c r="M148" s="68"/>
      <c r="N148" s="68"/>
      <c r="O148" s="68"/>
      <c r="P148" s="68"/>
    </row>
    <row r="149" spans="2:16">
      <c r="B149" s="66"/>
      <c r="C149" s="67"/>
      <c r="D149" s="67"/>
      <c r="E149" s="67"/>
      <c r="F149" s="67"/>
      <c r="G149" s="67"/>
      <c r="H149" s="67"/>
      <c r="I149" s="67"/>
      <c r="J149" s="67"/>
      <c r="K149" s="68"/>
      <c r="L149" s="68"/>
      <c r="M149" s="68"/>
      <c r="N149" s="68"/>
      <c r="O149" s="68"/>
      <c r="P149" s="68"/>
    </row>
    <row r="150" spans="2:16">
      <c r="B150" s="66"/>
      <c r="C150" s="67"/>
      <c r="D150" s="67"/>
      <c r="E150" s="67"/>
      <c r="F150" s="67"/>
      <c r="G150" s="67"/>
      <c r="H150" s="67"/>
      <c r="I150" s="67"/>
      <c r="J150" s="67"/>
      <c r="K150" s="68"/>
      <c r="L150" s="68"/>
      <c r="M150" s="68"/>
      <c r="N150" s="68"/>
      <c r="O150" s="68"/>
      <c r="P150" s="68"/>
    </row>
    <row r="151" spans="2:16">
      <c r="B151" s="66"/>
      <c r="C151" s="67"/>
      <c r="D151" s="67"/>
      <c r="E151" s="67"/>
      <c r="F151" s="67"/>
      <c r="G151" s="67"/>
      <c r="H151" s="67"/>
      <c r="I151" s="67"/>
      <c r="J151" s="67"/>
      <c r="K151" s="68"/>
      <c r="L151" s="68"/>
      <c r="M151" s="68"/>
      <c r="N151" s="68"/>
      <c r="O151" s="68"/>
      <c r="P151" s="68"/>
    </row>
    <row r="152" spans="2:16">
      <c r="B152" s="66"/>
      <c r="C152" s="67"/>
      <c r="D152" s="67"/>
      <c r="E152" s="67"/>
      <c r="F152" s="67"/>
      <c r="G152" s="67"/>
      <c r="H152" s="67"/>
      <c r="I152" s="67"/>
      <c r="J152" s="67"/>
      <c r="K152" s="68"/>
      <c r="L152" s="68"/>
      <c r="M152" s="68"/>
      <c r="N152" s="68"/>
      <c r="O152" s="68"/>
      <c r="P152" s="68"/>
    </row>
    <row r="153" spans="2:16">
      <c r="B153" s="66"/>
      <c r="C153" s="67"/>
      <c r="D153" s="67"/>
      <c r="E153" s="67"/>
      <c r="F153" s="67"/>
      <c r="G153" s="67"/>
      <c r="H153" s="67"/>
      <c r="I153" s="67"/>
      <c r="J153" s="67"/>
      <c r="K153" s="68"/>
      <c r="L153" s="68"/>
      <c r="M153" s="68"/>
      <c r="N153" s="68"/>
      <c r="O153" s="68"/>
      <c r="P153" s="68"/>
    </row>
    <row r="154" spans="2:16">
      <c r="B154" s="66"/>
      <c r="C154" s="67"/>
      <c r="D154" s="67"/>
      <c r="E154" s="67"/>
      <c r="F154" s="67"/>
      <c r="G154" s="67"/>
      <c r="H154" s="67"/>
      <c r="I154" s="67"/>
      <c r="J154" s="67"/>
      <c r="K154" s="68"/>
      <c r="L154" s="68"/>
      <c r="M154" s="68"/>
      <c r="N154" s="68"/>
      <c r="O154" s="68"/>
      <c r="P154" s="68"/>
    </row>
    <row r="155" spans="2:16">
      <c r="B155" s="66"/>
      <c r="C155" s="67"/>
      <c r="D155" s="67"/>
      <c r="E155" s="67"/>
      <c r="F155" s="67"/>
      <c r="G155" s="67"/>
      <c r="H155" s="67"/>
      <c r="I155" s="67"/>
      <c r="J155" s="67"/>
      <c r="K155" s="68"/>
      <c r="L155" s="68"/>
      <c r="M155" s="68"/>
      <c r="N155" s="68"/>
      <c r="O155" s="68"/>
      <c r="P155" s="68"/>
    </row>
    <row r="156" spans="2:16">
      <c r="B156" s="66"/>
      <c r="C156" s="67"/>
      <c r="D156" s="67"/>
      <c r="E156" s="67"/>
      <c r="F156" s="67"/>
      <c r="G156" s="67"/>
      <c r="H156" s="67"/>
      <c r="I156" s="67"/>
      <c r="J156" s="67"/>
      <c r="K156" s="68"/>
      <c r="L156" s="68"/>
      <c r="M156" s="68"/>
      <c r="N156" s="68"/>
      <c r="O156" s="68"/>
      <c r="P156" s="68"/>
    </row>
    <row r="157" spans="2:16">
      <c r="B157" s="66"/>
      <c r="C157" s="67"/>
      <c r="D157" s="67"/>
      <c r="E157" s="67"/>
      <c r="F157" s="67"/>
      <c r="G157" s="67"/>
      <c r="H157" s="67"/>
      <c r="I157" s="67"/>
      <c r="J157" s="67"/>
      <c r="K157" s="68"/>
      <c r="L157" s="68"/>
      <c r="M157" s="68"/>
      <c r="N157" s="68"/>
      <c r="O157" s="68"/>
      <c r="P157" s="68"/>
    </row>
    <row r="158" spans="2:16">
      <c r="B158" s="66"/>
      <c r="C158" s="67"/>
      <c r="D158" s="67"/>
      <c r="E158" s="67"/>
      <c r="F158" s="67"/>
      <c r="G158" s="67"/>
      <c r="H158" s="67"/>
      <c r="I158" s="67"/>
      <c r="J158" s="67"/>
      <c r="K158" s="68"/>
      <c r="L158" s="68"/>
      <c r="M158" s="68"/>
      <c r="N158" s="68"/>
      <c r="O158" s="68"/>
      <c r="P158" s="68"/>
    </row>
    <row r="159" spans="2:16">
      <c r="B159" s="66"/>
      <c r="C159" s="67"/>
      <c r="D159" s="67"/>
      <c r="E159" s="67"/>
      <c r="F159" s="67"/>
      <c r="G159" s="67"/>
      <c r="H159" s="67"/>
      <c r="I159" s="67"/>
      <c r="J159" s="67"/>
      <c r="K159" s="68"/>
      <c r="L159" s="68"/>
      <c r="M159" s="68"/>
      <c r="N159" s="68"/>
      <c r="O159" s="68"/>
      <c r="P159" s="68"/>
    </row>
    <row r="160" spans="2:16">
      <c r="B160" s="66"/>
      <c r="C160" s="67"/>
      <c r="D160" s="67"/>
      <c r="E160" s="67"/>
      <c r="F160" s="67"/>
      <c r="G160" s="67"/>
      <c r="H160" s="67"/>
      <c r="I160" s="67"/>
      <c r="J160" s="67"/>
      <c r="K160" s="68"/>
      <c r="L160" s="68"/>
      <c r="M160" s="68"/>
      <c r="N160" s="68"/>
      <c r="O160" s="68"/>
      <c r="P160" s="68"/>
    </row>
    <row r="161" spans="2:16">
      <c r="B161" s="66"/>
      <c r="C161" s="67"/>
      <c r="D161" s="67"/>
      <c r="E161" s="67"/>
      <c r="F161" s="67"/>
      <c r="G161" s="67"/>
      <c r="H161" s="67"/>
      <c r="I161" s="67"/>
      <c r="J161" s="67"/>
      <c r="K161" s="68"/>
      <c r="L161" s="68"/>
      <c r="M161" s="68"/>
      <c r="N161" s="68"/>
      <c r="O161" s="68"/>
      <c r="P161" s="68"/>
    </row>
    <row r="162" spans="2:16">
      <c r="B162" s="66"/>
      <c r="C162" s="67"/>
      <c r="D162" s="67"/>
      <c r="E162" s="67"/>
      <c r="F162" s="67"/>
      <c r="G162" s="67"/>
      <c r="H162" s="67"/>
      <c r="I162" s="67"/>
      <c r="J162" s="67"/>
      <c r="K162" s="68"/>
      <c r="L162" s="68"/>
      <c r="M162" s="68"/>
      <c r="N162" s="68"/>
      <c r="O162" s="68"/>
      <c r="P162" s="68"/>
    </row>
    <row r="163" spans="2:16">
      <c r="B163" s="66"/>
      <c r="C163" s="67"/>
      <c r="D163" s="67"/>
      <c r="E163" s="67"/>
      <c r="F163" s="67"/>
      <c r="G163" s="67"/>
      <c r="H163" s="67"/>
      <c r="I163" s="67"/>
      <c r="J163" s="67"/>
      <c r="K163" s="68"/>
      <c r="L163" s="68"/>
      <c r="M163" s="68"/>
      <c r="N163" s="68"/>
      <c r="O163" s="68"/>
      <c r="P163" s="68"/>
    </row>
    <row r="164" spans="2:16">
      <c r="B164" s="66"/>
      <c r="C164" s="67"/>
      <c r="D164" s="67"/>
      <c r="E164" s="67"/>
      <c r="F164" s="67"/>
      <c r="G164" s="67"/>
      <c r="H164" s="67"/>
      <c r="I164" s="67"/>
      <c r="J164" s="67"/>
      <c r="K164" s="68"/>
      <c r="L164" s="68"/>
      <c r="M164" s="68"/>
      <c r="N164" s="68"/>
      <c r="O164" s="68"/>
      <c r="P164" s="68"/>
    </row>
    <row r="165" spans="2:16">
      <c r="B165" s="66"/>
      <c r="C165" s="67"/>
      <c r="D165" s="67"/>
      <c r="E165" s="67"/>
      <c r="F165" s="67"/>
      <c r="G165" s="67"/>
      <c r="H165" s="67"/>
      <c r="I165" s="67"/>
      <c r="J165" s="67"/>
      <c r="K165" s="68"/>
      <c r="L165" s="68"/>
      <c r="M165" s="68"/>
      <c r="N165" s="68"/>
      <c r="O165" s="68"/>
      <c r="P165" s="68"/>
    </row>
    <row r="166" spans="2:16">
      <c r="B166" s="66"/>
      <c r="C166" s="67"/>
      <c r="D166" s="67"/>
      <c r="E166" s="67"/>
      <c r="F166" s="67"/>
      <c r="G166" s="67"/>
      <c r="H166" s="67"/>
      <c r="I166" s="67"/>
      <c r="J166" s="67"/>
      <c r="K166" s="68"/>
      <c r="L166" s="68"/>
      <c r="M166" s="68"/>
      <c r="N166" s="68"/>
      <c r="O166" s="68"/>
      <c r="P166" s="68"/>
    </row>
    <row r="167" spans="2:16">
      <c r="B167" s="66"/>
      <c r="C167" s="67"/>
      <c r="D167" s="67"/>
      <c r="E167" s="67"/>
      <c r="F167" s="67"/>
      <c r="G167" s="67"/>
      <c r="H167" s="67"/>
      <c r="I167" s="67"/>
      <c r="J167" s="67"/>
      <c r="K167" s="68"/>
      <c r="L167" s="68"/>
      <c r="M167" s="68"/>
      <c r="N167" s="68"/>
      <c r="O167" s="68"/>
      <c r="P167" s="68"/>
    </row>
    <row r="168" spans="2:16">
      <c r="B168" s="66"/>
      <c r="C168" s="67"/>
      <c r="D168" s="67"/>
      <c r="E168" s="67"/>
      <c r="F168" s="67"/>
      <c r="G168" s="67"/>
      <c r="H168" s="67"/>
      <c r="I168" s="67"/>
      <c r="J168" s="67"/>
      <c r="K168" s="68"/>
      <c r="L168" s="68"/>
      <c r="M168" s="68"/>
      <c r="N168" s="68"/>
      <c r="O168" s="68"/>
      <c r="P168" s="68"/>
    </row>
    <row r="169" spans="2:16">
      <c r="B169" s="66"/>
      <c r="C169" s="67"/>
      <c r="D169" s="67"/>
      <c r="E169" s="67"/>
      <c r="F169" s="67"/>
      <c r="G169" s="67"/>
      <c r="H169" s="67"/>
      <c r="I169" s="67"/>
      <c r="J169" s="67"/>
      <c r="K169" s="68"/>
      <c r="L169" s="68"/>
      <c r="M169" s="68"/>
      <c r="N169" s="68"/>
      <c r="O169" s="68"/>
      <c r="P169" s="68"/>
    </row>
    <row r="170" spans="2:16">
      <c r="B170" s="66"/>
      <c r="C170" s="67"/>
      <c r="D170" s="67"/>
      <c r="E170" s="67"/>
      <c r="F170" s="67"/>
      <c r="G170" s="67"/>
      <c r="H170" s="67"/>
      <c r="I170" s="67"/>
      <c r="J170" s="67"/>
      <c r="K170" s="68"/>
      <c r="L170" s="68"/>
      <c r="M170" s="68"/>
      <c r="N170" s="68"/>
      <c r="O170" s="68"/>
      <c r="P170" s="68"/>
    </row>
    <row r="171" spans="2:16">
      <c r="B171" s="66"/>
      <c r="C171" s="67"/>
      <c r="D171" s="67"/>
      <c r="E171" s="67"/>
      <c r="F171" s="67"/>
      <c r="G171" s="67"/>
      <c r="H171" s="67"/>
      <c r="I171" s="67"/>
      <c r="J171" s="67"/>
      <c r="K171" s="68"/>
      <c r="L171" s="68"/>
      <c r="M171" s="68"/>
      <c r="N171" s="68"/>
      <c r="O171" s="68"/>
      <c r="P171" s="68"/>
    </row>
    <row r="172" spans="2:16"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</row>
    <row r="173" spans="2:16"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</row>
    <row r="174" spans="2:16"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</row>
    <row r="175" spans="2:16"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</row>
    <row r="176" spans="2:16"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</row>
    <row r="177" spans="3:16"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</row>
    <row r="178" spans="3:16"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</row>
    <row r="179" spans="3:16"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</row>
    <row r="180" spans="3:16"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</row>
    <row r="181" spans="3:16"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</row>
    <row r="182" spans="3:16"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</row>
    <row r="183" spans="3:16"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</row>
    <row r="184" spans="3:16"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</row>
    <row r="185" spans="3:16"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</row>
    <row r="186" spans="3:16"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</row>
    <row r="187" spans="3:16"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</row>
    <row r="188" spans="3:16"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</row>
    <row r="189" spans="3:16"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</row>
    <row r="190" spans="3:16"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</row>
    <row r="191" spans="3:16"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</row>
    <row r="192" spans="3:16"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</row>
    <row r="193" spans="3:16"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</row>
    <row r="194" spans="3:16"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</row>
    <row r="195" spans="3:16"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</row>
    <row r="196" spans="3:16"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</row>
    <row r="197" spans="3:16"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</row>
    <row r="198" spans="3:16"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</row>
    <row r="199" spans="3:16"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</row>
    <row r="200" spans="3:16"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</row>
    <row r="201" spans="3:16"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</row>
    <row r="202" spans="3:16"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</row>
    <row r="203" spans="3:16"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</row>
    <row r="204" spans="3:16"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</row>
    <row r="205" spans="3:16"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</row>
    <row r="206" spans="3:16"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</row>
    <row r="207" spans="3:16"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</row>
    <row r="208" spans="3:16"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</row>
    <row r="209" spans="3:16"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</row>
    <row r="210" spans="3:16"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</row>
    <row r="211" spans="3:16"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</row>
    <row r="212" spans="3:16">
      <c r="C212" s="68"/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</row>
    <row r="213" spans="3:16"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</row>
    <row r="214" spans="3:16">
      <c r="C214" s="68"/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</row>
  </sheetData>
  <mergeCells count="23">
    <mergeCell ref="Z7:AA7"/>
    <mergeCell ref="AB7:AC7"/>
    <mergeCell ref="P7:Q7"/>
    <mergeCell ref="R7:S7"/>
    <mergeCell ref="T7:U7"/>
    <mergeCell ref="V7:W7"/>
    <mergeCell ref="X7:Y7"/>
    <mergeCell ref="AB1:AC1"/>
    <mergeCell ref="A2:AC2"/>
    <mergeCell ref="A3:AC3"/>
    <mergeCell ref="A4:AC4"/>
    <mergeCell ref="A6:A8"/>
    <mergeCell ref="B6:B8"/>
    <mergeCell ref="C6:E7"/>
    <mergeCell ref="F6:K6"/>
    <mergeCell ref="L6:Q6"/>
    <mergeCell ref="R6:W6"/>
    <mergeCell ref="X6:AC6"/>
    <mergeCell ref="F7:G7"/>
    <mergeCell ref="H7:I7"/>
    <mergeCell ref="J7:K7"/>
    <mergeCell ref="L7:M7"/>
    <mergeCell ref="N7:O7"/>
  </mergeCells>
  <pageMargins left="0" right="0" top="0" bottom="0" header="0.51180555555555496" footer="0.51180555555555496"/>
  <pageSetup paperSize="9" scale="35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71"/>
  <sheetViews>
    <sheetView zoomScale="68" zoomScaleNormal="68" workbookViewId="0">
      <pane xSplit="9" ySplit="12" topLeftCell="M57" activePane="bottomRight" state="frozen"/>
      <selection pane="topRight" activeCell="J1" sqref="J1"/>
      <selection pane="bottomLeft" activeCell="A66" sqref="A66"/>
      <selection pane="bottomRight" activeCell="I60" sqref="I60"/>
    </sheetView>
  </sheetViews>
  <sheetFormatPr defaultColWidth="8.7109375" defaultRowHeight="12.75"/>
  <cols>
    <col min="1" max="1" width="9.5703125" customWidth="1"/>
    <col min="2" max="2" width="26.42578125" customWidth="1"/>
    <col min="3" max="3" width="22.140625" customWidth="1"/>
    <col min="4" max="4" width="23.28515625" customWidth="1"/>
    <col min="5" max="5" width="12.28515625" customWidth="1"/>
    <col min="6" max="6" width="19.85546875" customWidth="1"/>
    <col min="7" max="7" width="17.42578125" customWidth="1"/>
    <col min="8" max="8" width="17" customWidth="1"/>
    <col min="9" max="9" width="21.42578125" customWidth="1"/>
    <col min="10" max="10" width="19.5703125" customWidth="1"/>
    <col min="11" max="11" width="23.42578125" customWidth="1"/>
    <col min="12" max="12" width="13" customWidth="1"/>
    <col min="13" max="13" width="13.42578125" customWidth="1"/>
    <col min="14" max="14" width="13.85546875" customWidth="1"/>
    <col min="15" max="15" width="16.28515625" customWidth="1"/>
    <col min="16" max="17" width="14.140625" customWidth="1"/>
    <col min="18" max="18" width="16" customWidth="1"/>
    <col min="19" max="21" width="14.140625" customWidth="1"/>
    <col min="22" max="22" width="13.28515625" customWidth="1"/>
    <col min="23" max="23" width="15.140625" customWidth="1"/>
    <col min="24" max="24" width="12.42578125" customWidth="1"/>
    <col min="25" max="25" width="13.140625" customWidth="1"/>
    <col min="26" max="26" width="12.42578125" customWidth="1"/>
    <col min="27" max="28" width="14.140625" customWidth="1"/>
    <col min="29" max="29" width="15.140625" customWidth="1"/>
  </cols>
  <sheetData>
    <row r="1" spans="1:29" ht="18.75">
      <c r="A1" s="7"/>
      <c r="B1" s="7"/>
      <c r="C1" s="7"/>
      <c r="D1" s="7"/>
      <c r="E1" s="7">
        <f>G1-F1</f>
        <v>-8659.27</v>
      </c>
      <c r="F1" s="8">
        <v>8659.27</v>
      </c>
      <c r="G1" s="7">
        <f>G9+I9+K9</f>
        <v>0</v>
      </c>
      <c r="H1" s="8"/>
      <c r="I1" s="7"/>
      <c r="U1" s="9"/>
      <c r="V1" s="9"/>
      <c r="W1" s="10"/>
      <c r="Y1" s="10"/>
      <c r="AB1" s="6" t="s">
        <v>0</v>
      </c>
      <c r="AC1" s="6"/>
    </row>
    <row r="2" spans="1:29" ht="20.25">
      <c r="A2" s="5" t="s">
        <v>165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18.75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.75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s="13" customFormat="1" ht="15" customHeight="1">
      <c r="A5" s="11"/>
      <c r="B5" s="11"/>
      <c r="C5" s="12"/>
      <c r="D5" s="12"/>
      <c r="E5" s="11"/>
      <c r="F5" s="11"/>
      <c r="G5" s="11"/>
      <c r="H5" s="11"/>
      <c r="I5" s="11"/>
      <c r="J5" s="11"/>
      <c r="Q5" s="14"/>
      <c r="S5" s="14"/>
      <c r="U5" s="14"/>
      <c r="W5" s="14"/>
      <c r="Y5" s="14"/>
      <c r="AA5" s="14"/>
      <c r="AC5" s="14" t="s">
        <v>3</v>
      </c>
    </row>
    <row r="6" spans="1:29" ht="15.75">
      <c r="A6" s="2" t="s">
        <v>4</v>
      </c>
      <c r="B6" s="2" t="s">
        <v>5</v>
      </c>
      <c r="C6" s="2" t="s">
        <v>6</v>
      </c>
      <c r="D6" s="2"/>
      <c r="E6" s="2"/>
      <c r="F6" s="1" t="s">
        <v>7</v>
      </c>
      <c r="G6" s="1"/>
      <c r="H6" s="1"/>
      <c r="I6" s="1"/>
      <c r="J6" s="1"/>
      <c r="K6" s="1"/>
      <c r="L6" s="1" t="s">
        <v>7</v>
      </c>
      <c r="M6" s="1"/>
      <c r="N6" s="1"/>
      <c r="O6" s="1"/>
      <c r="P6" s="1"/>
      <c r="Q6" s="1"/>
      <c r="R6" s="1" t="s">
        <v>7</v>
      </c>
      <c r="S6" s="1"/>
      <c r="T6" s="1"/>
      <c r="U6" s="1"/>
      <c r="V6" s="1"/>
      <c r="W6" s="1"/>
      <c r="X6" s="1" t="s">
        <v>7</v>
      </c>
      <c r="Y6" s="1"/>
      <c r="Z6" s="1"/>
      <c r="AA6" s="1"/>
      <c r="AB6" s="1"/>
      <c r="AC6" s="1"/>
    </row>
    <row r="7" spans="1:29" ht="15.75">
      <c r="A7" s="2"/>
      <c r="B7" s="2"/>
      <c r="C7" s="2"/>
      <c r="D7" s="2"/>
      <c r="E7" s="2"/>
      <c r="F7" s="2" t="s">
        <v>8</v>
      </c>
      <c r="G7" s="2"/>
      <c r="H7" s="2" t="s">
        <v>9</v>
      </c>
      <c r="I7" s="2"/>
      <c r="J7" s="2" t="s">
        <v>10</v>
      </c>
      <c r="K7" s="2"/>
      <c r="L7" s="2" t="s">
        <v>11</v>
      </c>
      <c r="M7" s="2"/>
      <c r="N7" s="2" t="s">
        <v>12</v>
      </c>
      <c r="O7" s="2"/>
      <c r="P7" s="2" t="s">
        <v>13</v>
      </c>
      <c r="Q7" s="2"/>
      <c r="R7" s="2" t="s">
        <v>14</v>
      </c>
      <c r="S7" s="2"/>
      <c r="T7" s="2" t="s">
        <v>15</v>
      </c>
      <c r="U7" s="2"/>
      <c r="V7" s="2" t="s">
        <v>16</v>
      </c>
      <c r="W7" s="2"/>
      <c r="X7" s="2" t="s">
        <v>17</v>
      </c>
      <c r="Y7" s="2"/>
      <c r="Z7" s="2" t="s">
        <v>18</v>
      </c>
      <c r="AA7" s="2"/>
      <c r="AB7" s="2" t="s">
        <v>19</v>
      </c>
      <c r="AC7" s="2"/>
    </row>
    <row r="8" spans="1:29" ht="15.75">
      <c r="A8" s="2"/>
      <c r="B8" s="2"/>
      <c r="C8" s="15" t="s">
        <v>20</v>
      </c>
      <c r="D8" s="15" t="s">
        <v>21</v>
      </c>
      <c r="E8" s="15" t="s">
        <v>22</v>
      </c>
      <c r="F8" s="15" t="s">
        <v>20</v>
      </c>
      <c r="G8" s="15" t="s">
        <v>21</v>
      </c>
      <c r="H8" s="15" t="s">
        <v>20</v>
      </c>
      <c r="I8" s="15" t="s">
        <v>21</v>
      </c>
      <c r="J8" s="15" t="s">
        <v>20</v>
      </c>
      <c r="K8" s="15" t="s">
        <v>21</v>
      </c>
      <c r="L8" s="15" t="s">
        <v>20</v>
      </c>
      <c r="M8" s="15" t="s">
        <v>21</v>
      </c>
      <c r="N8" s="15" t="s">
        <v>20</v>
      </c>
      <c r="O8" s="15" t="s">
        <v>21</v>
      </c>
      <c r="P8" s="15" t="s">
        <v>20</v>
      </c>
      <c r="Q8" s="15" t="s">
        <v>21</v>
      </c>
      <c r="R8" s="15" t="s">
        <v>20</v>
      </c>
      <c r="S8" s="15" t="s">
        <v>21</v>
      </c>
      <c r="T8" s="15" t="s">
        <v>20</v>
      </c>
      <c r="U8" s="15" t="s">
        <v>21</v>
      </c>
      <c r="V8" s="15" t="s">
        <v>20</v>
      </c>
      <c r="W8" s="15" t="s">
        <v>21</v>
      </c>
      <c r="X8" s="15" t="s">
        <v>20</v>
      </c>
      <c r="Y8" s="15" t="s">
        <v>21</v>
      </c>
      <c r="Z8" s="15" t="s">
        <v>20</v>
      </c>
      <c r="AA8" s="15" t="s">
        <v>21</v>
      </c>
      <c r="AB8" s="15" t="s">
        <v>20</v>
      </c>
      <c r="AC8" s="15" t="s">
        <v>21</v>
      </c>
    </row>
    <row r="9" spans="1:29" s="10" customFormat="1" ht="21.95" customHeight="1">
      <c r="A9" s="16">
        <v>1</v>
      </c>
      <c r="B9" s="17" t="s">
        <v>23</v>
      </c>
      <c r="C9" s="18">
        <f t="shared" ref="C9:D11" si="0">F9+H9+J9+L9+N9+P9+R9+T9+V9+X9+Z9+AB9</f>
        <v>7009.439409999999</v>
      </c>
      <c r="D9" s="18">
        <f t="shared" si="0"/>
        <v>6938.1210699999992</v>
      </c>
      <c r="E9" s="18">
        <f>D9/C9*100</f>
        <v>98.98253860503803</v>
      </c>
      <c r="F9" s="18"/>
      <c r="G9" s="18"/>
      <c r="H9" s="18"/>
      <c r="I9" s="32"/>
      <c r="J9" s="18"/>
      <c r="K9" s="32"/>
      <c r="L9" s="18">
        <v>2345.8124699999998</v>
      </c>
      <c r="M9" s="18">
        <v>2290.5342999999998</v>
      </c>
      <c r="N9" s="18">
        <v>2345.8124699999998</v>
      </c>
      <c r="O9" s="18">
        <v>2034.28844</v>
      </c>
      <c r="P9" s="18">
        <v>2317.8144699999998</v>
      </c>
      <c r="Q9" s="18">
        <v>2613.2983300000001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s="10" customFormat="1" ht="33" customHeight="1">
      <c r="A10" s="16">
        <v>2</v>
      </c>
      <c r="B10" s="17" t="s">
        <v>24</v>
      </c>
      <c r="C10" s="18">
        <f t="shared" si="0"/>
        <v>1542.076669</v>
      </c>
      <c r="D10" s="18">
        <f t="shared" si="0"/>
        <v>1517.2852700000001</v>
      </c>
      <c r="E10" s="18">
        <f>D10/C10*100</f>
        <v>98.392336807995633</v>
      </c>
      <c r="F10" s="18"/>
      <c r="G10" s="18"/>
      <c r="H10" s="18"/>
      <c r="I10" s="20"/>
      <c r="J10" s="18"/>
      <c r="K10" s="19"/>
      <c r="L10" s="18">
        <v>516.07874000000004</v>
      </c>
      <c r="M10" s="18">
        <v>503.31648000000001</v>
      </c>
      <c r="N10" s="18">
        <v>516.07874000000004</v>
      </c>
      <c r="O10" s="18">
        <v>454.02913999999998</v>
      </c>
      <c r="P10" s="18">
        <v>509.91918900000002</v>
      </c>
      <c r="Q10" s="18">
        <v>559.93965000000003</v>
      </c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s="10" customFormat="1" ht="45" customHeight="1">
      <c r="A11" s="16">
        <v>3</v>
      </c>
      <c r="B11" s="17" t="s">
        <v>25</v>
      </c>
      <c r="C11" s="18">
        <f t="shared" si="0"/>
        <v>617.46600000000001</v>
      </c>
      <c r="D11" s="18">
        <f t="shared" si="0"/>
        <v>69.520800000000008</v>
      </c>
      <c r="E11" s="18">
        <f>D11/C11*100</f>
        <v>11.25904908124496</v>
      </c>
      <c r="F11" s="18">
        <f t="shared" ref="F11:Q11" si="1">SUM(F14:F26)</f>
        <v>0</v>
      </c>
      <c r="G11" s="18">
        <f t="shared" si="1"/>
        <v>0</v>
      </c>
      <c r="H11" s="18">
        <f t="shared" si="1"/>
        <v>0</v>
      </c>
      <c r="I11" s="18">
        <f t="shared" si="1"/>
        <v>0</v>
      </c>
      <c r="J11" s="18">
        <f t="shared" si="1"/>
        <v>0</v>
      </c>
      <c r="K11" s="18">
        <f t="shared" si="1"/>
        <v>0</v>
      </c>
      <c r="L11" s="18">
        <f t="shared" si="1"/>
        <v>205.822</v>
      </c>
      <c r="M11" s="18">
        <f t="shared" si="1"/>
        <v>0</v>
      </c>
      <c r="N11" s="18">
        <f t="shared" si="1"/>
        <v>205.822</v>
      </c>
      <c r="O11" s="18">
        <f t="shared" si="1"/>
        <v>40.758000000000003</v>
      </c>
      <c r="P11" s="18">
        <f t="shared" si="1"/>
        <v>205.822</v>
      </c>
      <c r="Q11" s="18">
        <f t="shared" si="1"/>
        <v>28.762800000000002</v>
      </c>
      <c r="R11" s="18">
        <f>SUM(R14:R22)</f>
        <v>0</v>
      </c>
      <c r="S11" s="18">
        <f>SUM(S14:S26)</f>
        <v>0</v>
      </c>
      <c r="T11" s="18">
        <f>SUM(T14:T22)</f>
        <v>0</v>
      </c>
      <c r="U11" s="18">
        <f>SUM(U14:U26)</f>
        <v>0</v>
      </c>
      <c r="V11" s="18">
        <f t="shared" ref="V11:AC11" si="2">SUM(V14:V22)</f>
        <v>0</v>
      </c>
      <c r="W11" s="18">
        <f t="shared" si="2"/>
        <v>0</v>
      </c>
      <c r="X11" s="18">
        <f t="shared" si="2"/>
        <v>0</v>
      </c>
      <c r="Y11" s="18">
        <f t="shared" si="2"/>
        <v>0</v>
      </c>
      <c r="Z11" s="18">
        <f t="shared" si="2"/>
        <v>0</v>
      </c>
      <c r="AA11" s="18">
        <f t="shared" si="2"/>
        <v>0</v>
      </c>
      <c r="AB11" s="18">
        <f t="shared" si="2"/>
        <v>0</v>
      </c>
      <c r="AC11" s="18">
        <f t="shared" si="2"/>
        <v>0</v>
      </c>
    </row>
    <row r="12" spans="1:29" s="10" customFormat="1" ht="35.1" hidden="1" customHeight="1">
      <c r="A12" s="21"/>
      <c r="B12" s="22" t="s">
        <v>26</v>
      </c>
      <c r="C12" s="23">
        <f>F12+H12+J12</f>
        <v>391.10199999999998</v>
      </c>
      <c r="D12" s="23">
        <f>G12+I12+K12</f>
        <v>202.7405</v>
      </c>
      <c r="E12" s="23"/>
      <c r="F12" s="69">
        <v>81.835999999999999</v>
      </c>
      <c r="G12" s="70">
        <v>75.823999999999998</v>
      </c>
      <c r="H12" s="69">
        <v>79.7</v>
      </c>
      <c r="I12" s="70">
        <v>53.1295</v>
      </c>
      <c r="J12" s="69">
        <v>229.566</v>
      </c>
      <c r="K12" s="70">
        <v>73.787000000000006</v>
      </c>
      <c r="L12" s="34">
        <v>205.822</v>
      </c>
      <c r="M12" s="23">
        <v>0</v>
      </c>
      <c r="N12" s="23">
        <v>205.822</v>
      </c>
      <c r="O12" s="23">
        <v>40.758000000000003</v>
      </c>
      <c r="P12" s="23">
        <v>205.822</v>
      </c>
      <c r="Q12" s="23">
        <v>28.762799999999999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29" s="10" customFormat="1" ht="30.75" hidden="1" customHeight="1">
      <c r="A13" s="21"/>
      <c r="B13" s="22"/>
      <c r="C13" s="23"/>
      <c r="D13" s="23">
        <f t="shared" ref="D13:R13" si="3">D12-D11</f>
        <v>133.21969999999999</v>
      </c>
      <c r="E13" s="23">
        <f t="shared" si="3"/>
        <v>-11.25904908124496</v>
      </c>
      <c r="F13" s="27">
        <f t="shared" si="3"/>
        <v>81.835999999999999</v>
      </c>
      <c r="G13" s="27">
        <f t="shared" si="3"/>
        <v>75.823999999999998</v>
      </c>
      <c r="H13" s="27">
        <f t="shared" si="3"/>
        <v>79.7</v>
      </c>
      <c r="I13" s="27">
        <f t="shared" si="3"/>
        <v>53.1295</v>
      </c>
      <c r="J13" s="27">
        <f t="shared" si="3"/>
        <v>229.566</v>
      </c>
      <c r="K13" s="27">
        <f t="shared" si="3"/>
        <v>73.787000000000006</v>
      </c>
      <c r="L13" s="35">
        <f t="shared" si="3"/>
        <v>0</v>
      </c>
      <c r="M13" s="27">
        <f t="shared" si="3"/>
        <v>0</v>
      </c>
      <c r="N13" s="27">
        <f t="shared" si="3"/>
        <v>0</v>
      </c>
      <c r="O13" s="27">
        <f t="shared" si="3"/>
        <v>0</v>
      </c>
      <c r="P13" s="27">
        <f t="shared" si="3"/>
        <v>0</v>
      </c>
      <c r="Q13" s="27">
        <f t="shared" si="3"/>
        <v>0</v>
      </c>
      <c r="R13" s="27">
        <f t="shared" si="3"/>
        <v>0</v>
      </c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1:29" ht="45" customHeight="1">
      <c r="A14" s="28" t="s">
        <v>27</v>
      </c>
      <c r="B14" s="29" t="s">
        <v>28</v>
      </c>
      <c r="C14" s="25">
        <f t="shared" ref="C14:C27" si="4">F14+H14+J14+L14+N14+P14+R14+T14+V14+X14+Z14+AB14</f>
        <v>78</v>
      </c>
      <c r="D14" s="25">
        <f t="shared" ref="D14:D27" si="5">G14+I14+K14+M14+O14+Q14+S14+U14+W14+Y14+AA14+AC14</f>
        <v>45.576000000000001</v>
      </c>
      <c r="E14" s="25">
        <f t="shared" ref="E14:E27" si="6">D14/C14*100</f>
        <v>58.430769230769229</v>
      </c>
      <c r="F14" s="25"/>
      <c r="G14" s="25"/>
      <c r="H14" s="25"/>
      <c r="I14" s="25"/>
      <c r="J14" s="25"/>
      <c r="K14" s="25"/>
      <c r="L14" s="25">
        <v>26</v>
      </c>
      <c r="M14" s="25"/>
      <c r="N14" s="25">
        <v>26</v>
      </c>
      <c r="O14" s="25">
        <v>22.788</v>
      </c>
      <c r="P14" s="25">
        <v>26</v>
      </c>
      <c r="Q14" s="25">
        <v>22.788</v>
      </c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29" ht="15.75">
      <c r="A15" s="28" t="s">
        <v>29</v>
      </c>
      <c r="B15" s="29" t="s">
        <v>30</v>
      </c>
      <c r="C15" s="25">
        <f t="shared" si="4"/>
        <v>75</v>
      </c>
      <c r="D15" s="25">
        <f t="shared" si="5"/>
        <v>0</v>
      </c>
      <c r="E15" s="25">
        <f t="shared" si="6"/>
        <v>0</v>
      </c>
      <c r="F15" s="25"/>
      <c r="G15" s="25"/>
      <c r="H15" s="25"/>
      <c r="I15" s="25"/>
      <c r="J15" s="25"/>
      <c r="K15" s="25"/>
      <c r="L15" s="25">
        <v>25</v>
      </c>
      <c r="M15" s="25"/>
      <c r="N15" s="25">
        <v>25</v>
      </c>
      <c r="O15" s="25"/>
      <c r="P15" s="25">
        <v>25</v>
      </c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29" ht="15.75">
      <c r="A16" s="28" t="s">
        <v>31</v>
      </c>
      <c r="B16" s="29" t="s">
        <v>32</v>
      </c>
      <c r="C16" s="25">
        <f t="shared" si="4"/>
        <v>281.46600000000001</v>
      </c>
      <c r="D16" s="25">
        <f t="shared" si="5"/>
        <v>19.598800000000004</v>
      </c>
      <c r="E16" s="25">
        <f t="shared" si="6"/>
        <v>6.9631145502476333</v>
      </c>
      <c r="F16" s="25"/>
      <c r="G16" s="25"/>
      <c r="H16" s="25"/>
      <c r="I16" s="25"/>
      <c r="J16" s="25"/>
      <c r="K16" s="25"/>
      <c r="L16" s="25">
        <v>93.822000000000003</v>
      </c>
      <c r="M16" s="25"/>
      <c r="N16" s="25">
        <f>93.822</f>
        <v>93.822000000000003</v>
      </c>
      <c r="O16" s="25">
        <f>36.36225+18.918+12.583-53.13275</f>
        <v>14.730500000000006</v>
      </c>
      <c r="P16" s="25">
        <v>93.822000000000003</v>
      </c>
      <c r="Q16" s="25">
        <v>4.8682999999999996</v>
      </c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ht="15.75">
      <c r="A17" s="28" t="s">
        <v>33</v>
      </c>
      <c r="B17" s="29" t="s">
        <v>34</v>
      </c>
      <c r="C17" s="25">
        <f t="shared" si="4"/>
        <v>90</v>
      </c>
      <c r="D17" s="25">
        <f t="shared" si="5"/>
        <v>4.3460000000000001</v>
      </c>
      <c r="E17" s="25">
        <f t="shared" si="6"/>
        <v>4.8288888888888888</v>
      </c>
      <c r="F17" s="25"/>
      <c r="G17" s="25"/>
      <c r="H17" s="25"/>
      <c r="I17" s="25"/>
      <c r="J17" s="25"/>
      <c r="K17" s="25"/>
      <c r="L17" s="25">
        <v>30</v>
      </c>
      <c r="M17" s="25"/>
      <c r="N17" s="25">
        <v>30</v>
      </c>
      <c r="O17" s="25">
        <v>3.2395</v>
      </c>
      <c r="P17" s="25">
        <v>30</v>
      </c>
      <c r="Q17" s="25">
        <v>1.1065</v>
      </c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ht="31.5">
      <c r="A18" s="28" t="s">
        <v>35</v>
      </c>
      <c r="B18" s="29" t="s">
        <v>36</v>
      </c>
      <c r="C18" s="25">
        <f t="shared" si="4"/>
        <v>75</v>
      </c>
      <c r="D18" s="25">
        <f t="shared" si="5"/>
        <v>0</v>
      </c>
      <c r="E18" s="25">
        <f t="shared" si="6"/>
        <v>0</v>
      </c>
      <c r="F18" s="25"/>
      <c r="G18" s="25"/>
      <c r="H18" s="25"/>
      <c r="I18" s="25"/>
      <c r="J18" s="25"/>
      <c r="K18" s="25"/>
      <c r="L18" s="25">
        <v>25</v>
      </c>
      <c r="M18" s="25"/>
      <c r="N18" s="25">
        <v>25</v>
      </c>
      <c r="O18" s="25"/>
      <c r="P18" s="25">
        <v>25</v>
      </c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ht="15.75">
      <c r="A19" s="28" t="s">
        <v>37</v>
      </c>
      <c r="B19" s="29" t="s">
        <v>38</v>
      </c>
      <c r="C19" s="25">
        <f t="shared" si="4"/>
        <v>18</v>
      </c>
      <c r="D19" s="25">
        <f t="shared" si="5"/>
        <v>0</v>
      </c>
      <c r="E19" s="25">
        <f t="shared" si="6"/>
        <v>0</v>
      </c>
      <c r="F19" s="25"/>
      <c r="G19" s="25"/>
      <c r="H19" s="25"/>
      <c r="I19" s="25"/>
      <c r="J19" s="25"/>
      <c r="K19" s="25"/>
      <c r="L19" s="25">
        <v>6</v>
      </c>
      <c r="M19" s="25"/>
      <c r="N19" s="25">
        <v>6</v>
      </c>
      <c r="O19" s="25"/>
      <c r="P19" s="25">
        <v>6</v>
      </c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15.75">
      <c r="A20" s="28" t="s">
        <v>39</v>
      </c>
      <c r="B20" s="29" t="s">
        <v>40</v>
      </c>
      <c r="C20" s="25">
        <f t="shared" si="4"/>
        <v>0</v>
      </c>
      <c r="D20" s="25">
        <f t="shared" si="5"/>
        <v>0</v>
      </c>
      <c r="E20" s="25" t="e">
        <f t="shared" si="6"/>
        <v>#DIV/0!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31.5">
      <c r="A21" s="28" t="s">
        <v>41</v>
      </c>
      <c r="B21" s="29" t="s">
        <v>42</v>
      </c>
      <c r="C21" s="25">
        <f t="shared" si="4"/>
        <v>0</v>
      </c>
      <c r="D21" s="25">
        <f t="shared" si="5"/>
        <v>0</v>
      </c>
      <c r="E21" s="25" t="e">
        <f t="shared" si="6"/>
        <v>#DIV/0!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31.5">
      <c r="A22" s="28" t="s">
        <v>43</v>
      </c>
      <c r="B22" s="29" t="s">
        <v>44</v>
      </c>
      <c r="C22" s="25">
        <f t="shared" si="4"/>
        <v>0</v>
      </c>
      <c r="D22" s="25">
        <f t="shared" si="5"/>
        <v>0</v>
      </c>
      <c r="E22" s="25" t="e">
        <f t="shared" si="6"/>
        <v>#DIV/0!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15.75">
      <c r="A23" s="28" t="s">
        <v>45</v>
      </c>
      <c r="B23" s="29" t="s">
        <v>46</v>
      </c>
      <c r="C23" s="25">
        <f t="shared" si="4"/>
        <v>0</v>
      </c>
      <c r="D23" s="25">
        <f t="shared" si="5"/>
        <v>0</v>
      </c>
      <c r="E23" s="25" t="e">
        <f t="shared" si="6"/>
        <v>#DIV/0!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31.5">
      <c r="A24" s="28" t="s">
        <v>47</v>
      </c>
      <c r="B24" s="29" t="s">
        <v>48</v>
      </c>
      <c r="C24" s="25">
        <f t="shared" si="4"/>
        <v>0</v>
      </c>
      <c r="D24" s="25">
        <f t="shared" si="5"/>
        <v>0</v>
      </c>
      <c r="E24" s="25" t="e">
        <f t="shared" si="6"/>
        <v>#DIV/0!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15.75">
      <c r="A25" s="28" t="s">
        <v>47</v>
      </c>
      <c r="B25" s="29" t="s">
        <v>49</v>
      </c>
      <c r="C25" s="25">
        <f t="shared" si="4"/>
        <v>0</v>
      </c>
      <c r="D25" s="25">
        <f t="shared" si="5"/>
        <v>0</v>
      </c>
      <c r="E25" s="25" t="e">
        <f t="shared" si="6"/>
        <v>#DIV/0!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ht="15.75">
      <c r="A26" s="28" t="s">
        <v>50</v>
      </c>
      <c r="B26" s="29" t="s">
        <v>51</v>
      </c>
      <c r="C26" s="25">
        <f t="shared" si="4"/>
        <v>0</v>
      </c>
      <c r="D26" s="25">
        <f t="shared" si="5"/>
        <v>0</v>
      </c>
      <c r="E26" s="25" t="e">
        <f t="shared" si="6"/>
        <v>#DIV/0!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ht="54" customHeight="1">
      <c r="A27" s="30" t="s">
        <v>52</v>
      </c>
      <c r="B27" s="31" t="s">
        <v>53</v>
      </c>
      <c r="C27" s="71">
        <f t="shared" si="4"/>
        <v>3118.9261900000001</v>
      </c>
      <c r="D27" s="71">
        <f t="shared" si="5"/>
        <v>65.117199999999983</v>
      </c>
      <c r="E27" s="18">
        <f t="shared" si="6"/>
        <v>2.0878083043061682</v>
      </c>
      <c r="F27" s="20">
        <f t="shared" ref="F27:O27" si="7">SUM(F30:F40)</f>
        <v>0</v>
      </c>
      <c r="G27" s="20">
        <f t="shared" si="7"/>
        <v>0</v>
      </c>
      <c r="H27" s="20">
        <f t="shared" si="7"/>
        <v>0</v>
      </c>
      <c r="I27" s="20">
        <f t="shared" si="7"/>
        <v>0</v>
      </c>
      <c r="J27" s="20">
        <f t="shared" si="7"/>
        <v>0</v>
      </c>
      <c r="K27" s="20">
        <f t="shared" si="7"/>
        <v>0</v>
      </c>
      <c r="L27" s="18">
        <f t="shared" si="7"/>
        <v>1045.25621</v>
      </c>
      <c r="M27" s="18">
        <f t="shared" si="7"/>
        <v>0</v>
      </c>
      <c r="N27" s="18">
        <f t="shared" si="7"/>
        <v>1034.25621</v>
      </c>
      <c r="O27" s="18">
        <f t="shared" si="7"/>
        <v>49.71835999999999</v>
      </c>
      <c r="P27" s="18">
        <f>SUM(P30:P39)</f>
        <v>1039.4137700000001</v>
      </c>
      <c r="Q27" s="18">
        <f>SUM(Q30:Q39)-0.00005</f>
        <v>15.399039999999999</v>
      </c>
      <c r="R27" s="18">
        <f>SUM(R30:R39)</f>
        <v>0</v>
      </c>
      <c r="S27" s="18">
        <f>SUM(S30:S39)</f>
        <v>0</v>
      </c>
      <c r="T27" s="18">
        <f>SUM(T30:T39)</f>
        <v>0</v>
      </c>
      <c r="U27" s="18">
        <f>SUM(U30:U39)</f>
        <v>0</v>
      </c>
      <c r="V27" s="18">
        <f>SUM(V30:V39)</f>
        <v>0</v>
      </c>
      <c r="W27" s="18">
        <f>SUM(W30:W39)-0.00005</f>
        <v>-5.0000000000000002E-5</v>
      </c>
      <c r="X27" s="18">
        <f>SUM(X30:X39)</f>
        <v>0</v>
      </c>
      <c r="Y27" s="18">
        <f>SUM(Y30:Y39)-0.00005</f>
        <v>-5.0000000000000002E-5</v>
      </c>
      <c r="Z27" s="18">
        <f>SUM(Z30:Z39)</f>
        <v>0</v>
      </c>
      <c r="AA27" s="18">
        <f>SUM(AA30:AA39)-0.00005</f>
        <v>-5.0000000000000002E-5</v>
      </c>
      <c r="AB27" s="18">
        <f>SUM(AB30:AB39)</f>
        <v>0</v>
      </c>
      <c r="AC27" s="18">
        <f>SUM(AC30:AC39)-0.00005</f>
        <v>-5.0000000000000002E-5</v>
      </c>
    </row>
    <row r="28" spans="1:29" ht="39.6" hidden="1" customHeight="1">
      <c r="A28" s="28"/>
      <c r="B28" s="29" t="s">
        <v>26</v>
      </c>
      <c r="C28" s="27">
        <f>F28+H28+J28</f>
        <v>1587.4936600000001</v>
      </c>
      <c r="D28" s="72">
        <f>G28+I28+K28+M28+O28+Q28+S28+U28+W28</f>
        <v>510.83140000000003</v>
      </c>
      <c r="E28" s="23"/>
      <c r="F28" s="69">
        <v>194.88300000000001</v>
      </c>
      <c r="G28" s="34">
        <v>0</v>
      </c>
      <c r="H28" s="69">
        <v>202.626</v>
      </c>
      <c r="I28" s="34">
        <v>56.586959999999998</v>
      </c>
      <c r="J28" s="69">
        <v>1189.9846600000001</v>
      </c>
      <c r="K28" s="34">
        <v>389.12704000000002</v>
      </c>
      <c r="L28" s="23">
        <v>1045.25621</v>
      </c>
      <c r="M28" s="23">
        <v>0</v>
      </c>
      <c r="N28" s="34">
        <v>1034.25621</v>
      </c>
      <c r="O28" s="34">
        <v>49.718359999999997</v>
      </c>
      <c r="P28" s="35">
        <v>1039.4137700000001</v>
      </c>
      <c r="Q28" s="23">
        <v>15.399039999999999</v>
      </c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29" ht="39.6" hidden="1" customHeight="1">
      <c r="A29" s="28"/>
      <c r="B29" s="29"/>
      <c r="C29" s="27">
        <f>C27-C28</f>
        <v>1531.43253</v>
      </c>
      <c r="D29" s="72">
        <f>D28-D27</f>
        <v>445.71420000000006</v>
      </c>
      <c r="E29" s="23"/>
      <c r="F29" s="73">
        <f t="shared" ref="F29:L29" si="8">F27-F28</f>
        <v>-194.88300000000001</v>
      </c>
      <c r="G29" s="74">
        <f t="shared" si="8"/>
        <v>0</v>
      </c>
      <c r="H29" s="74">
        <f t="shared" si="8"/>
        <v>-202.626</v>
      </c>
      <c r="I29" s="74">
        <f t="shared" si="8"/>
        <v>-56.586959999999998</v>
      </c>
      <c r="J29" s="74">
        <f t="shared" si="8"/>
        <v>-1189.9846600000001</v>
      </c>
      <c r="K29" s="74">
        <f t="shared" si="8"/>
        <v>-389.12704000000002</v>
      </c>
      <c r="L29" s="35">
        <f t="shared" si="8"/>
        <v>0</v>
      </c>
      <c r="M29" s="35">
        <f t="shared" ref="M29:AA29" si="9">M28-M27</f>
        <v>0</v>
      </c>
      <c r="N29" s="75">
        <f t="shared" si="9"/>
        <v>0</v>
      </c>
      <c r="O29" s="35">
        <f t="shared" si="9"/>
        <v>0</v>
      </c>
      <c r="P29" s="35">
        <f t="shared" si="9"/>
        <v>0</v>
      </c>
      <c r="Q29" s="35">
        <f t="shared" si="9"/>
        <v>0</v>
      </c>
      <c r="R29" s="23">
        <f t="shared" si="9"/>
        <v>0</v>
      </c>
      <c r="S29" s="23">
        <f t="shared" si="9"/>
        <v>0</v>
      </c>
      <c r="T29" s="23">
        <f t="shared" si="9"/>
        <v>0</v>
      </c>
      <c r="U29" s="23">
        <f t="shared" si="9"/>
        <v>0</v>
      </c>
      <c r="V29" s="23">
        <f t="shared" si="9"/>
        <v>0</v>
      </c>
      <c r="W29" s="23">
        <f t="shared" si="9"/>
        <v>5.0000000000000002E-5</v>
      </c>
      <c r="X29" s="23">
        <f t="shared" si="9"/>
        <v>0</v>
      </c>
      <c r="Y29" s="23">
        <f t="shared" si="9"/>
        <v>5.0000000000000002E-5</v>
      </c>
      <c r="Z29" s="23">
        <f t="shared" si="9"/>
        <v>0</v>
      </c>
      <c r="AA29" s="23">
        <f t="shared" si="9"/>
        <v>5.0000000000000002E-5</v>
      </c>
      <c r="AB29" s="23">
        <f>AB27-AB28</f>
        <v>0</v>
      </c>
      <c r="AC29" s="23">
        <f>AC27-AC28</f>
        <v>-5.0000000000000002E-5</v>
      </c>
    </row>
    <row r="30" spans="1:29" ht="15.75">
      <c r="A30" s="28" t="s">
        <v>54</v>
      </c>
      <c r="B30" s="29" t="s">
        <v>55</v>
      </c>
      <c r="C30" s="76">
        <f t="shared" ref="C30:C42" si="10">F30+H30+J30+L30+N30+P30+R30+T30+V30+X30+Z30+AB30</f>
        <v>7.5</v>
      </c>
      <c r="D30" s="76">
        <f t="shared" ref="D30:D42" si="11">G30+I30+K30+M30+O30+Q30+S30+U30+W30+Y30+AA30+AC30</f>
        <v>0</v>
      </c>
      <c r="E30" s="25">
        <f t="shared" ref="E30:E42" si="12">D30/C30*100</f>
        <v>0</v>
      </c>
      <c r="F30" s="25"/>
      <c r="G30" s="25"/>
      <c r="H30" s="25"/>
      <c r="I30" s="25"/>
      <c r="J30" s="25"/>
      <c r="K30" s="25"/>
      <c r="L30" s="25">
        <v>2.5</v>
      </c>
      <c r="M30" s="25"/>
      <c r="N30" s="25">
        <v>2.5</v>
      </c>
      <c r="O30" s="25"/>
      <c r="P30" s="25">
        <v>2.5</v>
      </c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ht="15.75">
      <c r="A31" s="28" t="s">
        <v>56</v>
      </c>
      <c r="B31" s="29" t="s">
        <v>57</v>
      </c>
      <c r="C31" s="76">
        <f t="shared" si="10"/>
        <v>1274.2261900000001</v>
      </c>
      <c r="D31" s="76">
        <f t="shared" si="11"/>
        <v>14.561</v>
      </c>
      <c r="E31" s="25">
        <f t="shared" si="12"/>
        <v>1.1427327513963592</v>
      </c>
      <c r="F31" s="25"/>
      <c r="G31" s="25"/>
      <c r="H31" s="25"/>
      <c r="I31" s="25"/>
      <c r="J31" s="25"/>
      <c r="K31" s="25"/>
      <c r="L31" s="25">
        <v>424.75621000000001</v>
      </c>
      <c r="M31" s="25"/>
      <c r="N31" s="25">
        <v>424.75621000000001</v>
      </c>
      <c r="O31" s="25">
        <v>14.561</v>
      </c>
      <c r="P31" s="25">
        <v>424.71377000000001</v>
      </c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ht="48.75" customHeight="1">
      <c r="A32" s="28" t="s">
        <v>58</v>
      </c>
      <c r="B32" s="29" t="s">
        <v>59</v>
      </c>
      <c r="C32" s="76">
        <f t="shared" si="10"/>
        <v>1590</v>
      </c>
      <c r="D32" s="76">
        <f t="shared" si="11"/>
        <v>39.456449999999997</v>
      </c>
      <c r="E32" s="25">
        <f t="shared" si="12"/>
        <v>2.4815377358490562</v>
      </c>
      <c r="F32" s="25"/>
      <c r="G32" s="25"/>
      <c r="H32" s="25"/>
      <c r="I32" s="25"/>
      <c r="J32" s="25"/>
      <c r="K32" s="25"/>
      <c r="L32" s="25">
        <v>530</v>
      </c>
      <c r="M32" s="25"/>
      <c r="N32" s="25">
        <v>530</v>
      </c>
      <c r="O32" s="25">
        <v>24.057359999999999</v>
      </c>
      <c r="P32" s="25">
        <v>530</v>
      </c>
      <c r="Q32" s="25">
        <v>15.399089999999999</v>
      </c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ht="15.75">
      <c r="A33" s="28" t="s">
        <v>60</v>
      </c>
      <c r="B33" s="29" t="s">
        <v>61</v>
      </c>
      <c r="C33" s="76">
        <f t="shared" si="10"/>
        <v>36</v>
      </c>
      <c r="D33" s="76">
        <f t="shared" si="11"/>
        <v>7.3</v>
      </c>
      <c r="E33" s="25">
        <f t="shared" si="12"/>
        <v>20.277777777777779</v>
      </c>
      <c r="F33" s="25"/>
      <c r="G33" s="25"/>
      <c r="H33" s="25"/>
      <c r="I33" s="25"/>
      <c r="J33" s="25"/>
      <c r="K33" s="25"/>
      <c r="L33" s="25">
        <v>12</v>
      </c>
      <c r="M33" s="25"/>
      <c r="N33" s="25">
        <v>12</v>
      </c>
      <c r="O33" s="25">
        <v>7.3</v>
      </c>
      <c r="P33" s="25">
        <v>12</v>
      </c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ht="15.75">
      <c r="A34" s="28" t="s">
        <v>62</v>
      </c>
      <c r="B34" s="29" t="s">
        <v>63</v>
      </c>
      <c r="C34" s="76">
        <f t="shared" si="10"/>
        <v>15</v>
      </c>
      <c r="D34" s="76">
        <f t="shared" si="11"/>
        <v>0</v>
      </c>
      <c r="E34" s="25">
        <f t="shared" si="12"/>
        <v>0</v>
      </c>
      <c r="F34" s="25"/>
      <c r="G34" s="25"/>
      <c r="H34" s="25"/>
      <c r="I34" s="25"/>
      <c r="J34" s="25"/>
      <c r="K34" s="25"/>
      <c r="L34" s="25">
        <v>5</v>
      </c>
      <c r="M34" s="25"/>
      <c r="N34" s="25">
        <v>5</v>
      </c>
      <c r="O34" s="25"/>
      <c r="P34" s="25">
        <v>5</v>
      </c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ht="31.5">
      <c r="A35" s="28" t="s">
        <v>64</v>
      </c>
      <c r="B35" s="29" t="s">
        <v>65</v>
      </c>
      <c r="C35" s="76">
        <f t="shared" si="10"/>
        <v>63</v>
      </c>
      <c r="D35" s="76">
        <f t="shared" si="11"/>
        <v>0</v>
      </c>
      <c r="E35" s="25">
        <f t="shared" si="12"/>
        <v>0</v>
      </c>
      <c r="F35" s="25"/>
      <c r="G35" s="25"/>
      <c r="H35" s="25"/>
      <c r="I35" s="25"/>
      <c r="J35" s="25"/>
      <c r="K35" s="25"/>
      <c r="L35" s="25">
        <v>21</v>
      </c>
      <c r="M35" s="25"/>
      <c r="N35" s="25">
        <v>21</v>
      </c>
      <c r="O35" s="25"/>
      <c r="P35" s="25">
        <v>21</v>
      </c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ht="15.75">
      <c r="A36" s="28" t="s">
        <v>66</v>
      </c>
      <c r="B36" s="29" t="s">
        <v>67</v>
      </c>
      <c r="C36" s="76">
        <f t="shared" si="10"/>
        <v>18</v>
      </c>
      <c r="D36" s="76">
        <f t="shared" si="11"/>
        <v>0</v>
      </c>
      <c r="E36" s="25">
        <f t="shared" si="12"/>
        <v>0</v>
      </c>
      <c r="F36" s="25"/>
      <c r="G36" s="25"/>
      <c r="H36" s="25"/>
      <c r="I36" s="25"/>
      <c r="J36" s="25"/>
      <c r="K36" s="25"/>
      <c r="L36" s="25">
        <v>6</v>
      </c>
      <c r="M36" s="25"/>
      <c r="N36" s="25">
        <v>6</v>
      </c>
      <c r="O36" s="25"/>
      <c r="P36" s="25">
        <v>6</v>
      </c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ht="15.75">
      <c r="A37" s="28" t="s">
        <v>68</v>
      </c>
      <c r="B37" s="29" t="s">
        <v>69</v>
      </c>
      <c r="C37" s="76">
        <f t="shared" si="10"/>
        <v>0</v>
      </c>
      <c r="D37" s="76">
        <f t="shared" si="11"/>
        <v>0</v>
      </c>
      <c r="E37" s="25" t="e">
        <f t="shared" si="12"/>
        <v>#DIV/0!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ht="29.65" customHeight="1">
      <c r="A38" s="28" t="s">
        <v>68</v>
      </c>
      <c r="B38" s="29" t="s">
        <v>48</v>
      </c>
      <c r="C38" s="76">
        <f t="shared" si="10"/>
        <v>0</v>
      </c>
      <c r="D38" s="76">
        <f t="shared" si="11"/>
        <v>0</v>
      </c>
      <c r="E38" s="25" t="e">
        <f t="shared" si="12"/>
        <v>#DIV/0!</v>
      </c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ht="31.5">
      <c r="A39" s="28" t="s">
        <v>68</v>
      </c>
      <c r="B39" s="29" t="s">
        <v>70</v>
      </c>
      <c r="C39" s="76">
        <f t="shared" si="10"/>
        <v>94.2</v>
      </c>
      <c r="D39" s="76">
        <f t="shared" si="11"/>
        <v>0</v>
      </c>
      <c r="E39" s="25">
        <f t="shared" si="12"/>
        <v>0</v>
      </c>
      <c r="F39" s="25"/>
      <c r="G39" s="25"/>
      <c r="H39" s="25"/>
      <c r="I39" s="25"/>
      <c r="J39" s="25"/>
      <c r="K39" s="25"/>
      <c r="L39" s="25">
        <v>23</v>
      </c>
      <c r="M39" s="25"/>
      <c r="N39" s="25">
        <v>33</v>
      </c>
      <c r="O39" s="25"/>
      <c r="P39" s="25">
        <f>23+15.2</f>
        <v>38.200000000000003</v>
      </c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ht="15.75">
      <c r="A40" s="28" t="s">
        <v>71</v>
      </c>
      <c r="B40" s="29" t="s">
        <v>72</v>
      </c>
      <c r="C40" s="76">
        <f t="shared" si="10"/>
        <v>21</v>
      </c>
      <c r="D40" s="76">
        <f t="shared" si="11"/>
        <v>3.8</v>
      </c>
      <c r="E40" s="25">
        <f t="shared" si="12"/>
        <v>18.095238095238095</v>
      </c>
      <c r="F40" s="25"/>
      <c r="G40" s="25"/>
      <c r="H40" s="25"/>
      <c r="I40" s="25"/>
      <c r="J40" s="25"/>
      <c r="K40" s="25"/>
      <c r="L40" s="25">
        <v>21</v>
      </c>
      <c r="M40" s="25"/>
      <c r="N40" s="25"/>
      <c r="O40" s="25">
        <v>3.8</v>
      </c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ht="22.9" customHeight="1">
      <c r="A41" s="30" t="s">
        <v>73</v>
      </c>
      <c r="B41" s="31" t="s">
        <v>74</v>
      </c>
      <c r="C41" s="71">
        <f t="shared" si="10"/>
        <v>68.462999999999994</v>
      </c>
      <c r="D41" s="71">
        <f t="shared" si="11"/>
        <v>13.750299999999999</v>
      </c>
      <c r="E41" s="18">
        <f t="shared" si="12"/>
        <v>20.084279099659671</v>
      </c>
      <c r="F41" s="18"/>
      <c r="G41" s="18"/>
      <c r="H41" s="18"/>
      <c r="I41" s="20"/>
      <c r="J41" s="18"/>
      <c r="K41" s="18"/>
      <c r="L41" s="18">
        <v>5.8209999999999997</v>
      </c>
      <c r="M41" s="18">
        <v>4.6008599999999999</v>
      </c>
      <c r="N41" s="18">
        <v>16.821000000000002</v>
      </c>
      <c r="O41" s="18">
        <v>1.5823799999999999</v>
      </c>
      <c r="P41" s="18">
        <v>45.820999999999998</v>
      </c>
      <c r="Q41" s="18">
        <v>7.5670599999999997</v>
      </c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</row>
    <row r="42" spans="1:29" s="10" customFormat="1" ht="33.6" customHeight="1">
      <c r="A42" s="36" t="s">
        <v>75</v>
      </c>
      <c r="B42" s="17" t="s">
        <v>76</v>
      </c>
      <c r="C42" s="71">
        <f t="shared" si="10"/>
        <v>299.63399999999996</v>
      </c>
      <c r="D42" s="71">
        <f t="shared" si="11"/>
        <v>55.669200000000004</v>
      </c>
      <c r="E42" s="18">
        <f t="shared" si="12"/>
        <v>18.579066461082526</v>
      </c>
      <c r="F42" s="18">
        <f t="shared" ref="F42:R42" si="13">SUM(F45:F74)</f>
        <v>0</v>
      </c>
      <c r="G42" s="18">
        <f t="shared" si="13"/>
        <v>0</v>
      </c>
      <c r="H42" s="18">
        <f t="shared" si="13"/>
        <v>0</v>
      </c>
      <c r="I42" s="18">
        <f t="shared" si="13"/>
        <v>0</v>
      </c>
      <c r="J42" s="18">
        <f t="shared" si="13"/>
        <v>0</v>
      </c>
      <c r="K42" s="18">
        <f t="shared" si="13"/>
        <v>0</v>
      </c>
      <c r="L42" s="18">
        <f t="shared" si="13"/>
        <v>102.43799999999999</v>
      </c>
      <c r="M42" s="18">
        <f t="shared" si="13"/>
        <v>0</v>
      </c>
      <c r="N42" s="18">
        <f t="shared" si="13"/>
        <v>94.757999999999996</v>
      </c>
      <c r="O42" s="18">
        <f t="shared" si="13"/>
        <v>27.49137</v>
      </c>
      <c r="P42" s="18">
        <f t="shared" si="13"/>
        <v>102.43799999999999</v>
      </c>
      <c r="Q42" s="18">
        <f t="shared" si="13"/>
        <v>28.17783</v>
      </c>
      <c r="R42" s="18">
        <f t="shared" si="13"/>
        <v>0</v>
      </c>
      <c r="S42" s="18">
        <f t="shared" ref="S42:Z42" si="14">SUM(S45:S54)</f>
        <v>0</v>
      </c>
      <c r="T42" s="18">
        <f t="shared" si="14"/>
        <v>0</v>
      </c>
      <c r="U42" s="18">
        <f t="shared" si="14"/>
        <v>0</v>
      </c>
      <c r="V42" s="18">
        <f t="shared" si="14"/>
        <v>0</v>
      </c>
      <c r="W42" s="18">
        <f t="shared" si="14"/>
        <v>0</v>
      </c>
      <c r="X42" s="18">
        <f t="shared" si="14"/>
        <v>0</v>
      </c>
      <c r="Y42" s="18">
        <f t="shared" si="14"/>
        <v>0</v>
      </c>
      <c r="Z42" s="18">
        <f t="shared" si="14"/>
        <v>0</v>
      </c>
      <c r="AA42" s="18">
        <f>SUM(AA45:AA74)</f>
        <v>0</v>
      </c>
      <c r="AB42" s="18">
        <f>SUM(AB45:AB73)</f>
        <v>0</v>
      </c>
      <c r="AC42" s="18">
        <f>SUM(AC45:AC73)</f>
        <v>0</v>
      </c>
    </row>
    <row r="43" spans="1:29" s="40" customFormat="1" ht="25.15" hidden="1" customHeight="1">
      <c r="A43" s="38"/>
      <c r="B43" s="39" t="s">
        <v>77</v>
      </c>
      <c r="C43" s="27">
        <v>435.68225000000001</v>
      </c>
      <c r="D43" s="27">
        <f>G43+I43+K43+M43+O43+Q43+S43+U43+W43</f>
        <v>401.84609999999998</v>
      </c>
      <c r="E43" s="23"/>
      <c r="F43" s="35">
        <v>156.86147</v>
      </c>
      <c r="G43" s="27">
        <v>33.524259999999998</v>
      </c>
      <c r="H43" s="34">
        <v>137.32599999999999</v>
      </c>
      <c r="I43" s="34">
        <f>243.1165-G43</f>
        <v>209.59224</v>
      </c>
      <c r="J43" s="35">
        <v>141.49477999999999</v>
      </c>
      <c r="K43" s="34">
        <f>346.1769-I43-G43</f>
        <v>103.06039999999999</v>
      </c>
      <c r="L43" s="35">
        <v>102.438</v>
      </c>
      <c r="M43" s="35">
        <v>0</v>
      </c>
      <c r="N43" s="23">
        <f>102.438-7.68</f>
        <v>94.75800000000001</v>
      </c>
      <c r="O43" s="23">
        <v>27.49137</v>
      </c>
      <c r="P43" s="23">
        <v>102.438</v>
      </c>
      <c r="Q43" s="35">
        <v>28.17783</v>
      </c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</row>
    <row r="44" spans="1:29" s="43" customFormat="1" ht="15.75" hidden="1">
      <c r="A44" s="41"/>
      <c r="B44" s="42"/>
      <c r="C44" s="27">
        <f>C42-C43</f>
        <v>-136.04825000000005</v>
      </c>
      <c r="D44" s="27">
        <f>D42-D43</f>
        <v>-346.17689999999999</v>
      </c>
      <c r="E44" s="23"/>
      <c r="F44" s="27">
        <f t="shared" ref="F44:AC44" si="15">F42-F43</f>
        <v>-156.86147</v>
      </c>
      <c r="G44" s="34">
        <f t="shared" si="15"/>
        <v>-33.524259999999998</v>
      </c>
      <c r="H44" s="34">
        <f t="shared" si="15"/>
        <v>-137.32599999999999</v>
      </c>
      <c r="I44" s="34">
        <f t="shared" si="15"/>
        <v>-209.59224</v>
      </c>
      <c r="J44" s="35">
        <f t="shared" si="15"/>
        <v>-141.49477999999999</v>
      </c>
      <c r="K44" s="35">
        <f t="shared" si="15"/>
        <v>-103.06039999999999</v>
      </c>
      <c r="L44" s="34">
        <f t="shared" si="15"/>
        <v>0</v>
      </c>
      <c r="M44" s="34">
        <f t="shared" si="15"/>
        <v>0</v>
      </c>
      <c r="N44" s="35">
        <f t="shared" si="15"/>
        <v>0</v>
      </c>
      <c r="O44" s="35">
        <f t="shared" si="15"/>
        <v>0</v>
      </c>
      <c r="P44" s="35">
        <f t="shared" si="15"/>
        <v>0</v>
      </c>
      <c r="Q44" s="35">
        <f t="shared" si="15"/>
        <v>0</v>
      </c>
      <c r="R44" s="23">
        <f t="shared" si="15"/>
        <v>0</v>
      </c>
      <c r="S44" s="23">
        <f t="shared" si="15"/>
        <v>0</v>
      </c>
      <c r="T44" s="23">
        <f t="shared" si="15"/>
        <v>0</v>
      </c>
      <c r="U44" s="23">
        <f t="shared" si="15"/>
        <v>0</v>
      </c>
      <c r="V44" s="23">
        <f t="shared" si="15"/>
        <v>0</v>
      </c>
      <c r="W44" s="23">
        <f t="shared" si="15"/>
        <v>0</v>
      </c>
      <c r="X44" s="23">
        <f t="shared" si="15"/>
        <v>0</v>
      </c>
      <c r="Y44" s="23">
        <f t="shared" si="15"/>
        <v>0</v>
      </c>
      <c r="Z44" s="23">
        <f t="shared" si="15"/>
        <v>0</v>
      </c>
      <c r="AA44" s="23">
        <f t="shared" si="15"/>
        <v>0</v>
      </c>
      <c r="AB44" s="23">
        <f t="shared" si="15"/>
        <v>0</v>
      </c>
      <c r="AC44" s="23">
        <f t="shared" si="15"/>
        <v>0</v>
      </c>
    </row>
    <row r="45" spans="1:29" ht="49.35" customHeight="1">
      <c r="A45" s="28" t="s">
        <v>78</v>
      </c>
      <c r="B45" s="29" t="s">
        <v>79</v>
      </c>
      <c r="C45" s="76">
        <f t="shared" ref="C45:C76" si="16">F45+H45+J45+L45+N45+P45+R45+T45+V45+X45+Z45+AB45</f>
        <v>40.870250000000006</v>
      </c>
      <c r="D45" s="76">
        <f t="shared" ref="D45:D76" si="17">G45+I45+K45+M45+O45+Q45+S45+U45+W45+Y45+AA45+AC45</f>
        <v>15.870249999999999</v>
      </c>
      <c r="E45" s="25">
        <f t="shared" ref="E45:E76" si="18">D45/C45*100</f>
        <v>38.830812143307163</v>
      </c>
      <c r="F45" s="25"/>
      <c r="G45" s="25"/>
      <c r="H45" s="25"/>
      <c r="I45" s="25"/>
      <c r="J45" s="25"/>
      <c r="K45" s="25"/>
      <c r="L45" s="25">
        <v>25</v>
      </c>
      <c r="M45" s="25"/>
      <c r="N45" s="25">
        <v>12.95</v>
      </c>
      <c r="O45" s="25">
        <v>12.95</v>
      </c>
      <c r="P45" s="25">
        <v>2.9202499999999998</v>
      </c>
      <c r="Q45" s="25">
        <v>2.9202499999999998</v>
      </c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6" spans="1:29" ht="51.6" customHeight="1">
      <c r="A46" s="28" t="s">
        <v>80</v>
      </c>
      <c r="B46" s="29" t="s">
        <v>81</v>
      </c>
      <c r="C46" s="76">
        <f t="shared" si="16"/>
        <v>0</v>
      </c>
      <c r="D46" s="76">
        <f t="shared" si="17"/>
        <v>0</v>
      </c>
      <c r="E46" s="25" t="e">
        <f t="shared" si="18"/>
        <v>#DIV/0!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</row>
    <row r="47" spans="1:29" ht="33.950000000000003" customHeight="1">
      <c r="A47" s="28" t="s">
        <v>82</v>
      </c>
      <c r="B47" s="29" t="s">
        <v>83</v>
      </c>
      <c r="C47" s="76">
        <f t="shared" si="16"/>
        <v>3.1</v>
      </c>
      <c r="D47" s="76">
        <f t="shared" si="17"/>
        <v>3.1</v>
      </c>
      <c r="E47" s="25">
        <f t="shared" si="18"/>
        <v>100</v>
      </c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>
        <v>3.1</v>
      </c>
      <c r="Q47" s="25">
        <v>3.1</v>
      </c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</row>
    <row r="48" spans="1:29" ht="40.700000000000003" customHeight="1">
      <c r="A48" s="28" t="s">
        <v>84</v>
      </c>
      <c r="B48" s="29" t="s">
        <v>85</v>
      </c>
      <c r="C48" s="76">
        <f t="shared" si="16"/>
        <v>41.712470000000003</v>
      </c>
      <c r="D48" s="76">
        <f t="shared" si="17"/>
        <v>13.712470000000001</v>
      </c>
      <c r="E48" s="25">
        <f t="shared" si="18"/>
        <v>32.873790499579627</v>
      </c>
      <c r="F48" s="25"/>
      <c r="G48" s="25"/>
      <c r="H48" s="25"/>
      <c r="I48" s="25"/>
      <c r="J48" s="25"/>
      <c r="K48" s="25"/>
      <c r="L48" s="25">
        <v>28</v>
      </c>
      <c r="M48" s="25"/>
      <c r="N48" s="25">
        <v>5.6820599999999999</v>
      </c>
      <c r="O48" s="25">
        <v>5.6820599999999999</v>
      </c>
      <c r="P48" s="25">
        <f>2.03057+4.3032+1.70464-0.008</f>
        <v>8.0304100000000016</v>
      </c>
      <c r="Q48" s="25">
        <f>2.03057+4.3032+1.70464-0.008</f>
        <v>8.0304100000000016</v>
      </c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</row>
    <row r="49" spans="1:29" ht="38.450000000000003" customHeight="1">
      <c r="A49" s="28" t="s">
        <v>86</v>
      </c>
      <c r="B49" s="29" t="s">
        <v>87</v>
      </c>
      <c r="C49" s="76">
        <f t="shared" si="16"/>
        <v>0</v>
      </c>
      <c r="D49" s="76">
        <f t="shared" si="17"/>
        <v>0</v>
      </c>
      <c r="E49" s="25" t="e">
        <f t="shared" si="18"/>
        <v>#DIV/0!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spans="1:29" ht="31.5">
      <c r="A50" s="28" t="s">
        <v>88</v>
      </c>
      <c r="B50" s="29" t="s">
        <v>89</v>
      </c>
      <c r="C50" s="76">
        <f t="shared" si="16"/>
        <v>22.08004</v>
      </c>
      <c r="D50" s="76">
        <f t="shared" si="17"/>
        <v>12.08004</v>
      </c>
      <c r="E50" s="25">
        <f t="shared" si="18"/>
        <v>54.710226974226494</v>
      </c>
      <c r="F50" s="25"/>
      <c r="G50" s="25"/>
      <c r="H50" s="25"/>
      <c r="I50" s="25"/>
      <c r="J50" s="25"/>
      <c r="K50" s="25"/>
      <c r="L50" s="25">
        <v>10</v>
      </c>
      <c r="M50" s="25"/>
      <c r="N50" s="25">
        <f>5.08004</f>
        <v>5.0800400000000003</v>
      </c>
      <c r="O50" s="25">
        <f>5.08004</f>
        <v>5.0800400000000003</v>
      </c>
      <c r="P50" s="25">
        <v>7</v>
      </c>
      <c r="Q50" s="25">
        <v>7</v>
      </c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</row>
    <row r="51" spans="1:29" ht="47.25">
      <c r="A51" s="28" t="s">
        <v>90</v>
      </c>
      <c r="B51" s="29" t="s">
        <v>91</v>
      </c>
      <c r="C51" s="76">
        <f t="shared" si="16"/>
        <v>0</v>
      </c>
      <c r="D51" s="76">
        <f t="shared" si="17"/>
        <v>0</v>
      </c>
      <c r="E51" s="25" t="e">
        <f t="shared" si="18"/>
        <v>#DIV/0!</v>
      </c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1:29" ht="43.9" customHeight="1">
      <c r="A52" s="28" t="s">
        <v>92</v>
      </c>
      <c r="B52" s="29" t="s">
        <v>93</v>
      </c>
      <c r="C52" s="76">
        <f t="shared" si="16"/>
        <v>0</v>
      </c>
      <c r="D52" s="76">
        <f t="shared" si="17"/>
        <v>0</v>
      </c>
      <c r="E52" s="25" t="e">
        <f t="shared" si="18"/>
        <v>#DIV/0!</v>
      </c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</row>
    <row r="53" spans="1:29" ht="46.15" customHeight="1">
      <c r="A53" s="28" t="s">
        <v>94</v>
      </c>
      <c r="B53" s="29" t="s">
        <v>95</v>
      </c>
      <c r="C53" s="76">
        <f t="shared" si="16"/>
        <v>4.7200000000000006</v>
      </c>
      <c r="D53" s="76">
        <f t="shared" si="17"/>
        <v>1.1200000000000001</v>
      </c>
      <c r="E53" s="25">
        <f t="shared" si="18"/>
        <v>23.728813559322031</v>
      </c>
      <c r="F53" s="25"/>
      <c r="G53" s="25"/>
      <c r="H53" s="25"/>
      <c r="I53" s="25"/>
      <c r="J53" s="25"/>
      <c r="K53" s="25"/>
      <c r="L53" s="25">
        <v>3.6</v>
      </c>
      <c r="M53" s="25"/>
      <c r="N53" s="25">
        <v>1.1200000000000001</v>
      </c>
      <c r="O53" s="25">
        <v>1.1200000000000001</v>
      </c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</row>
    <row r="54" spans="1:29" ht="18" customHeight="1">
      <c r="A54" s="28" t="s">
        <v>96</v>
      </c>
      <c r="B54" s="29" t="s">
        <v>97</v>
      </c>
      <c r="C54" s="76">
        <f t="shared" si="16"/>
        <v>155.78607</v>
      </c>
      <c r="D54" s="76">
        <f t="shared" si="17"/>
        <v>2.2999999999999998</v>
      </c>
      <c r="E54" s="25">
        <f t="shared" si="18"/>
        <v>1.4763836073405023</v>
      </c>
      <c r="F54" s="25"/>
      <c r="G54" s="25"/>
      <c r="H54" s="25"/>
      <c r="I54" s="25"/>
      <c r="J54" s="25"/>
      <c r="K54" s="25"/>
      <c r="L54" s="25">
        <v>12</v>
      </c>
      <c r="M54" s="25"/>
      <c r="N54" s="25">
        <f>74.9059-7.68</f>
        <v>67.225899999999996</v>
      </c>
      <c r="O54" s="25"/>
      <c r="P54" s="25">
        <f>0.2+1.7+0.4+74.26017</f>
        <v>76.560169999999999</v>
      </c>
      <c r="Q54" s="25">
        <f>0.2+1.7+0.4</f>
        <v>2.2999999999999998</v>
      </c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</row>
    <row r="55" spans="1:29" ht="31.5">
      <c r="A55" s="28" t="s">
        <v>98</v>
      </c>
      <c r="B55" s="29" t="s">
        <v>99</v>
      </c>
      <c r="C55" s="76">
        <f t="shared" si="16"/>
        <v>10.827169999999999</v>
      </c>
      <c r="D55" s="76">
        <f t="shared" si="17"/>
        <v>4.8271699999999997</v>
      </c>
      <c r="E55" s="25">
        <f t="shared" si="18"/>
        <v>44.583857092850678</v>
      </c>
      <c r="F55" s="25"/>
      <c r="G55" s="25"/>
      <c r="H55" s="25"/>
      <c r="I55" s="25"/>
      <c r="J55" s="25"/>
      <c r="K55" s="25"/>
      <c r="L55" s="25">
        <v>6</v>
      </c>
      <c r="M55" s="25"/>
      <c r="N55" s="25"/>
      <c r="O55" s="25"/>
      <c r="P55" s="25">
        <v>4.8271699999999997</v>
      </c>
      <c r="Q55" s="25">
        <v>4.8271699999999997</v>
      </c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</row>
    <row r="56" spans="1:29" ht="31.5">
      <c r="A56" s="28" t="s">
        <v>100</v>
      </c>
      <c r="B56" s="29" t="s">
        <v>101</v>
      </c>
      <c r="C56" s="76">
        <f t="shared" si="16"/>
        <v>4.5</v>
      </c>
      <c r="D56" s="76">
        <f t="shared" si="17"/>
        <v>0</v>
      </c>
      <c r="E56" s="25">
        <f t="shared" si="18"/>
        <v>0</v>
      </c>
      <c r="F56" s="25"/>
      <c r="G56" s="25"/>
      <c r="H56" s="25"/>
      <c r="I56" s="25"/>
      <c r="J56" s="25"/>
      <c r="K56" s="25"/>
      <c r="L56" s="25">
        <v>4.5</v>
      </c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</row>
    <row r="57" spans="1:29" ht="35.1" customHeight="1">
      <c r="A57" s="28" t="s">
        <v>102</v>
      </c>
      <c r="B57" s="29" t="s">
        <v>103</v>
      </c>
      <c r="C57" s="76">
        <f t="shared" si="16"/>
        <v>4</v>
      </c>
      <c r="D57" s="76">
        <f t="shared" si="17"/>
        <v>0</v>
      </c>
      <c r="E57" s="25">
        <f t="shared" si="18"/>
        <v>0</v>
      </c>
      <c r="F57" s="25"/>
      <c r="G57" s="25"/>
      <c r="H57" s="25"/>
      <c r="I57" s="25"/>
      <c r="J57" s="25"/>
      <c r="K57" s="25"/>
      <c r="L57" s="25">
        <v>4</v>
      </c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</row>
    <row r="58" spans="1:29" ht="31.5">
      <c r="A58" s="28" t="s">
        <v>104</v>
      </c>
      <c r="B58" s="29" t="s">
        <v>105</v>
      </c>
      <c r="C58" s="76">
        <f t="shared" si="16"/>
        <v>9.3379999999999992</v>
      </c>
      <c r="D58" s="76">
        <f t="shared" si="17"/>
        <v>0</v>
      </c>
      <c r="E58" s="25">
        <f t="shared" si="18"/>
        <v>0</v>
      </c>
      <c r="F58" s="25"/>
      <c r="G58" s="25"/>
      <c r="H58" s="25"/>
      <c r="I58" s="25"/>
      <c r="J58" s="25"/>
      <c r="K58" s="25"/>
      <c r="L58" s="25">
        <v>9.3379999999999992</v>
      </c>
      <c r="M58" s="25"/>
      <c r="N58" s="25"/>
      <c r="O58" s="25"/>
      <c r="P58" s="77"/>
      <c r="Q58" s="77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</row>
    <row r="59" spans="1:29" ht="31.5">
      <c r="A59" s="28" t="s">
        <v>106</v>
      </c>
      <c r="B59" s="29" t="s">
        <v>107</v>
      </c>
      <c r="C59" s="76">
        <f t="shared" si="16"/>
        <v>0</v>
      </c>
      <c r="D59" s="76">
        <f t="shared" si="17"/>
        <v>0</v>
      </c>
      <c r="E59" s="25" t="e">
        <f t="shared" si="18"/>
        <v>#DIV/0!</v>
      </c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</row>
    <row r="60" spans="1:29" ht="15.75">
      <c r="A60" s="28" t="s">
        <v>108</v>
      </c>
      <c r="B60" s="29" t="s">
        <v>109</v>
      </c>
      <c r="C60" s="76">
        <f t="shared" si="16"/>
        <v>0</v>
      </c>
      <c r="D60" s="76">
        <f t="shared" si="17"/>
        <v>0</v>
      </c>
      <c r="E60" s="25" t="e">
        <f t="shared" si="18"/>
        <v>#DIV/0!</v>
      </c>
      <c r="F60" s="25"/>
      <c r="G60" s="25"/>
      <c r="H60" s="25"/>
      <c r="I60" s="77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</row>
    <row r="61" spans="1:29" ht="15.75">
      <c r="A61" s="28" t="s">
        <v>110</v>
      </c>
      <c r="B61" s="29" t="s">
        <v>111</v>
      </c>
      <c r="C61" s="76">
        <f t="shared" si="16"/>
        <v>0</v>
      </c>
      <c r="D61" s="76">
        <f t="shared" si="17"/>
        <v>0</v>
      </c>
      <c r="E61" s="25" t="e">
        <f t="shared" si="18"/>
        <v>#DIV/0!</v>
      </c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ht="31.5">
      <c r="A62" s="28" t="s">
        <v>112</v>
      </c>
      <c r="B62" s="29" t="s">
        <v>113</v>
      </c>
      <c r="C62" s="76">
        <f t="shared" si="16"/>
        <v>0</v>
      </c>
      <c r="D62" s="76">
        <f t="shared" si="17"/>
        <v>0</v>
      </c>
      <c r="E62" s="25" t="e">
        <f t="shared" si="18"/>
        <v>#DIV/0!</v>
      </c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</row>
    <row r="63" spans="1:29" ht="31.5">
      <c r="A63" s="28" t="s">
        <v>114</v>
      </c>
      <c r="B63" s="29" t="s">
        <v>115</v>
      </c>
      <c r="C63" s="76">
        <f t="shared" si="16"/>
        <v>2.7</v>
      </c>
      <c r="D63" s="76">
        <f t="shared" si="17"/>
        <v>2.6592699999999998</v>
      </c>
      <c r="E63" s="25">
        <f t="shared" si="18"/>
        <v>98.491481481481472</v>
      </c>
      <c r="F63" s="25"/>
      <c r="G63" s="25"/>
      <c r="H63" s="25"/>
      <c r="I63" s="25"/>
      <c r="J63" s="25"/>
      <c r="K63" s="25"/>
      <c r="L63" s="25"/>
      <c r="M63" s="25"/>
      <c r="N63" s="25">
        <v>2.7</v>
      </c>
      <c r="O63" s="25">
        <f>0.8436+0.19825+0.648+0.58942+0.25+0.13</f>
        <v>2.6592699999999998</v>
      </c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</row>
    <row r="64" spans="1:29" ht="31.5">
      <c r="A64" s="28" t="s">
        <v>116</v>
      </c>
      <c r="B64" s="29" t="s">
        <v>117</v>
      </c>
      <c r="C64" s="76">
        <f t="shared" si="16"/>
        <v>0</v>
      </c>
      <c r="D64" s="76">
        <f t="shared" si="17"/>
        <v>0</v>
      </c>
      <c r="E64" s="25" t="e">
        <f t="shared" si="18"/>
        <v>#DIV/0!</v>
      </c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</row>
    <row r="65" spans="1:29" ht="52.5" customHeight="1">
      <c r="A65" s="28" t="s">
        <v>118</v>
      </c>
      <c r="B65" s="29" t="s">
        <v>119</v>
      </c>
      <c r="C65" s="76">
        <f t="shared" si="16"/>
        <v>0</v>
      </c>
      <c r="D65" s="76">
        <f t="shared" si="17"/>
        <v>0</v>
      </c>
      <c r="E65" s="25" t="e">
        <f t="shared" si="18"/>
        <v>#DIV/0!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ht="31.5">
      <c r="A66" s="28" t="s">
        <v>120</v>
      </c>
      <c r="B66" s="29" t="s">
        <v>121</v>
      </c>
      <c r="C66" s="25">
        <f t="shared" si="16"/>
        <v>0</v>
      </c>
      <c r="D66" s="25">
        <f t="shared" si="17"/>
        <v>0</v>
      </c>
      <c r="E66" s="25" t="e">
        <f t="shared" si="18"/>
        <v>#DIV/0!</v>
      </c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</row>
    <row r="67" spans="1:29" ht="31.5">
      <c r="A67" s="28" t="s">
        <v>122</v>
      </c>
      <c r="B67" s="29" t="s">
        <v>123</v>
      </c>
      <c r="C67" s="25">
        <f t="shared" si="16"/>
        <v>0</v>
      </c>
      <c r="D67" s="25">
        <f t="shared" si="17"/>
        <v>0</v>
      </c>
      <c r="E67" s="25" t="e">
        <f t="shared" si="18"/>
        <v>#DIV/0!</v>
      </c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</row>
    <row r="68" spans="1:29" ht="31.5">
      <c r="A68" s="28" t="s">
        <v>124</v>
      </c>
      <c r="B68" s="29" t="s">
        <v>125</v>
      </c>
      <c r="C68" s="25">
        <f t="shared" si="16"/>
        <v>0</v>
      </c>
      <c r="D68" s="25">
        <f t="shared" si="17"/>
        <v>0</v>
      </c>
      <c r="E68" s="25" t="e">
        <f t="shared" si="18"/>
        <v>#DIV/0!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</row>
    <row r="69" spans="1:29" ht="26.25" customHeight="1">
      <c r="A69" s="28" t="s">
        <v>126</v>
      </c>
      <c r="B69" s="29" t="s">
        <v>127</v>
      </c>
      <c r="C69" s="25">
        <f t="shared" si="16"/>
        <v>0</v>
      </c>
      <c r="D69" s="25">
        <f t="shared" si="17"/>
        <v>0</v>
      </c>
      <c r="E69" s="25" t="e">
        <f t="shared" si="18"/>
        <v>#DIV/0!</v>
      </c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</row>
    <row r="70" spans="1:29" ht="47.25">
      <c r="A70" s="28" t="s">
        <v>128</v>
      </c>
      <c r="B70" s="29" t="s">
        <v>129</v>
      </c>
      <c r="C70" s="25">
        <f t="shared" si="16"/>
        <v>0</v>
      </c>
      <c r="D70" s="25">
        <f t="shared" si="17"/>
        <v>0</v>
      </c>
      <c r="E70" s="25" t="e">
        <f t="shared" si="18"/>
        <v>#DIV/0!</v>
      </c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</row>
    <row r="71" spans="1:29" ht="31.5">
      <c r="A71" s="28" t="s">
        <v>130</v>
      </c>
      <c r="B71" s="29" t="s">
        <v>131</v>
      </c>
      <c r="C71" s="25">
        <f t="shared" si="16"/>
        <v>0</v>
      </c>
      <c r="D71" s="25">
        <f t="shared" si="17"/>
        <v>0</v>
      </c>
      <c r="E71" s="25" t="e">
        <f t="shared" si="18"/>
        <v>#DIV/0!</v>
      </c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</row>
    <row r="72" spans="1:29" ht="47.25">
      <c r="A72" s="28" t="s">
        <v>132</v>
      </c>
      <c r="B72" s="29" t="s">
        <v>133</v>
      </c>
      <c r="C72" s="25">
        <f t="shared" si="16"/>
        <v>0</v>
      </c>
      <c r="D72" s="25">
        <f t="shared" si="17"/>
        <v>0</v>
      </c>
      <c r="E72" s="25" t="e">
        <f t="shared" si="18"/>
        <v>#DIV/0!</v>
      </c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</row>
    <row r="73" spans="1:29" ht="31.5">
      <c r="A73" s="28" t="s">
        <v>134</v>
      </c>
      <c r="B73" s="29" t="s">
        <v>135</v>
      </c>
      <c r="C73" s="25">
        <f t="shared" si="16"/>
        <v>0</v>
      </c>
      <c r="D73" s="25">
        <f t="shared" si="17"/>
        <v>0</v>
      </c>
      <c r="E73" s="25" t="e">
        <f t="shared" si="18"/>
        <v>#DIV/0!</v>
      </c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</row>
    <row r="74" spans="1:29" ht="15.75">
      <c r="A74" s="28" t="s">
        <v>136</v>
      </c>
      <c r="B74" s="29" t="s">
        <v>137</v>
      </c>
      <c r="C74" s="25">
        <f t="shared" si="16"/>
        <v>0</v>
      </c>
      <c r="D74" s="25">
        <f t="shared" si="17"/>
        <v>0</v>
      </c>
      <c r="E74" s="25" t="e">
        <f t="shared" si="18"/>
        <v>#DIV/0!</v>
      </c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</row>
    <row r="75" spans="1:29" ht="35.25" customHeight="1">
      <c r="A75" s="30" t="s">
        <v>138</v>
      </c>
      <c r="B75" s="31" t="s">
        <v>139</v>
      </c>
      <c r="C75" s="18">
        <f t="shared" si="16"/>
        <v>0</v>
      </c>
      <c r="D75" s="18">
        <f t="shared" si="17"/>
        <v>0</v>
      </c>
      <c r="E75" s="18" t="e">
        <f t="shared" si="18"/>
        <v>#DIV/0!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</row>
    <row r="76" spans="1:29" ht="31.5" customHeight="1">
      <c r="A76" s="30" t="s">
        <v>140</v>
      </c>
      <c r="B76" s="31" t="s">
        <v>141</v>
      </c>
      <c r="C76" s="18">
        <f t="shared" si="16"/>
        <v>0</v>
      </c>
      <c r="D76" s="18">
        <f t="shared" si="17"/>
        <v>0</v>
      </c>
      <c r="E76" s="18" t="e">
        <f t="shared" si="18"/>
        <v>#DIV/0!</v>
      </c>
      <c r="F76" s="18">
        <f t="shared" ref="F76:AC76" si="19">SUM(F78:F81)</f>
        <v>0</v>
      </c>
      <c r="G76" s="18">
        <f t="shared" si="19"/>
        <v>0</v>
      </c>
      <c r="H76" s="18">
        <f t="shared" si="19"/>
        <v>0</v>
      </c>
      <c r="I76" s="18">
        <f t="shared" si="19"/>
        <v>0</v>
      </c>
      <c r="J76" s="18">
        <f t="shared" si="19"/>
        <v>0</v>
      </c>
      <c r="K76" s="18">
        <f t="shared" si="19"/>
        <v>0</v>
      </c>
      <c r="L76" s="18">
        <f t="shared" si="19"/>
        <v>0</v>
      </c>
      <c r="M76" s="18">
        <f t="shared" si="19"/>
        <v>0</v>
      </c>
      <c r="N76" s="18">
        <f t="shared" si="19"/>
        <v>0</v>
      </c>
      <c r="O76" s="18">
        <f t="shared" si="19"/>
        <v>0</v>
      </c>
      <c r="P76" s="18">
        <f t="shared" si="19"/>
        <v>0</v>
      </c>
      <c r="Q76" s="18">
        <f t="shared" si="19"/>
        <v>0</v>
      </c>
      <c r="R76" s="18">
        <f t="shared" si="19"/>
        <v>0</v>
      </c>
      <c r="S76" s="18">
        <f t="shared" si="19"/>
        <v>0</v>
      </c>
      <c r="T76" s="18">
        <f t="shared" si="19"/>
        <v>0</v>
      </c>
      <c r="U76" s="18">
        <f t="shared" si="19"/>
        <v>0</v>
      </c>
      <c r="V76" s="18">
        <f t="shared" si="19"/>
        <v>0</v>
      </c>
      <c r="W76" s="18">
        <f t="shared" si="19"/>
        <v>0</v>
      </c>
      <c r="X76" s="18">
        <f t="shared" si="19"/>
        <v>0</v>
      </c>
      <c r="Y76" s="18">
        <f t="shared" si="19"/>
        <v>0</v>
      </c>
      <c r="Z76" s="18">
        <f t="shared" si="19"/>
        <v>0</v>
      </c>
      <c r="AA76" s="18">
        <f t="shared" si="19"/>
        <v>0</v>
      </c>
      <c r="AB76" s="18">
        <f t="shared" si="19"/>
        <v>0</v>
      </c>
      <c r="AC76" s="18">
        <f t="shared" si="19"/>
        <v>0</v>
      </c>
    </row>
    <row r="77" spans="1:29" ht="15.75">
      <c r="A77" s="28"/>
      <c r="B77" s="29" t="s">
        <v>26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</row>
    <row r="78" spans="1:29" ht="15.75">
      <c r="A78" s="28" t="s">
        <v>142</v>
      </c>
      <c r="B78" s="29" t="s">
        <v>143</v>
      </c>
      <c r="C78" s="25">
        <f t="shared" ref="C78:D83" si="20">F78+H78+J78+L78+N78+P78+R78+T78+V78+X78+Z78+AB78</f>
        <v>0</v>
      </c>
      <c r="D78" s="25">
        <f t="shared" si="20"/>
        <v>0</v>
      </c>
      <c r="E78" s="25" t="e">
        <f t="shared" ref="E78:E83" si="21">D78/C78*100</f>
        <v>#DIV/0!</v>
      </c>
      <c r="F78" s="25"/>
      <c r="G78" s="25"/>
      <c r="H78" s="25"/>
      <c r="I78" s="70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</row>
    <row r="79" spans="1:29" s="44" customFormat="1" ht="18">
      <c r="A79" s="28" t="s">
        <v>144</v>
      </c>
      <c r="B79" s="29" t="s">
        <v>145</v>
      </c>
      <c r="C79" s="25">
        <f t="shared" si="20"/>
        <v>0</v>
      </c>
      <c r="D79" s="25">
        <f t="shared" si="20"/>
        <v>0</v>
      </c>
      <c r="E79" s="25" t="e">
        <f t="shared" si="21"/>
        <v>#DIV/0!</v>
      </c>
      <c r="F79" s="25"/>
      <c r="G79" s="25"/>
      <c r="H79" s="25"/>
      <c r="I79" s="70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</row>
    <row r="80" spans="1:29" s="44" customFormat="1" ht="18">
      <c r="A80" s="28" t="s">
        <v>146</v>
      </c>
      <c r="B80" s="29" t="s">
        <v>147</v>
      </c>
      <c r="C80" s="25">
        <f t="shared" si="20"/>
        <v>0</v>
      </c>
      <c r="D80" s="25">
        <f t="shared" si="20"/>
        <v>0</v>
      </c>
      <c r="E80" s="25" t="e">
        <f t="shared" si="21"/>
        <v>#DIV/0!</v>
      </c>
      <c r="F80" s="25"/>
      <c r="G80" s="25"/>
      <c r="H80" s="25"/>
      <c r="I80" s="70"/>
      <c r="J80" s="25"/>
      <c r="K80" s="70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</row>
    <row r="81" spans="1:29" s="44" customFormat="1" ht="18">
      <c r="A81" s="28" t="s">
        <v>148</v>
      </c>
      <c r="B81" s="29" t="s">
        <v>149</v>
      </c>
      <c r="C81" s="25">
        <f t="shared" si="20"/>
        <v>0</v>
      </c>
      <c r="D81" s="25">
        <f t="shared" si="20"/>
        <v>0</v>
      </c>
      <c r="E81" s="25" t="e">
        <f t="shared" si="21"/>
        <v>#DIV/0!</v>
      </c>
      <c r="F81" s="25"/>
      <c r="G81" s="25"/>
      <c r="H81" s="25"/>
      <c r="I81" s="70"/>
      <c r="J81" s="25"/>
      <c r="K81" s="70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29" s="44" customFormat="1" ht="63" customHeight="1">
      <c r="A82" s="30" t="s">
        <v>150</v>
      </c>
      <c r="B82" s="31" t="s">
        <v>151</v>
      </c>
      <c r="C82" s="18">
        <f t="shared" si="20"/>
        <v>7.68</v>
      </c>
      <c r="D82" s="18">
        <f t="shared" si="20"/>
        <v>7.68</v>
      </c>
      <c r="E82" s="18">
        <f t="shared" si="21"/>
        <v>100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7.68</v>
      </c>
      <c r="O82" s="18">
        <v>7.68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</row>
    <row r="83" spans="1:29" s="44" customFormat="1" ht="19.149999999999999" customHeight="1">
      <c r="A83" s="30" t="s">
        <v>152</v>
      </c>
      <c r="B83" s="31" t="s">
        <v>153</v>
      </c>
      <c r="C83" s="18">
        <f t="shared" si="20"/>
        <v>0</v>
      </c>
      <c r="D83" s="18">
        <f t="shared" si="20"/>
        <v>0</v>
      </c>
      <c r="E83" s="18" t="e">
        <f t="shared" si="21"/>
        <v>#DIV/0!</v>
      </c>
      <c r="F83" s="18">
        <f t="shared" ref="F83:AC83" si="22">SUM(F85:F86)</f>
        <v>0</v>
      </c>
      <c r="G83" s="18">
        <f t="shared" si="22"/>
        <v>0</v>
      </c>
      <c r="H83" s="18">
        <f t="shared" si="22"/>
        <v>0</v>
      </c>
      <c r="I83" s="18">
        <f t="shared" si="22"/>
        <v>0</v>
      </c>
      <c r="J83" s="18">
        <f t="shared" si="22"/>
        <v>0</v>
      </c>
      <c r="K83" s="18">
        <f t="shared" si="22"/>
        <v>0</v>
      </c>
      <c r="L83" s="18">
        <f t="shared" si="22"/>
        <v>0</v>
      </c>
      <c r="M83" s="18">
        <f t="shared" si="22"/>
        <v>0</v>
      </c>
      <c r="N83" s="18">
        <f t="shared" si="22"/>
        <v>0</v>
      </c>
      <c r="O83" s="18">
        <f t="shared" si="22"/>
        <v>0</v>
      </c>
      <c r="P83" s="18">
        <f t="shared" si="22"/>
        <v>0</v>
      </c>
      <c r="Q83" s="18">
        <f t="shared" si="22"/>
        <v>0</v>
      </c>
      <c r="R83" s="18">
        <f t="shared" si="22"/>
        <v>0</v>
      </c>
      <c r="S83" s="18">
        <f t="shared" si="22"/>
        <v>0</v>
      </c>
      <c r="T83" s="18">
        <f t="shared" si="22"/>
        <v>0</v>
      </c>
      <c r="U83" s="18">
        <f t="shared" si="22"/>
        <v>0</v>
      </c>
      <c r="V83" s="18">
        <f t="shared" si="22"/>
        <v>0</v>
      </c>
      <c r="W83" s="18">
        <f t="shared" si="22"/>
        <v>0</v>
      </c>
      <c r="X83" s="18">
        <f t="shared" si="22"/>
        <v>0</v>
      </c>
      <c r="Y83" s="18">
        <f t="shared" si="22"/>
        <v>0</v>
      </c>
      <c r="Z83" s="18">
        <f t="shared" si="22"/>
        <v>0</v>
      </c>
      <c r="AA83" s="18">
        <f t="shared" si="22"/>
        <v>0</v>
      </c>
      <c r="AB83" s="18">
        <f t="shared" si="22"/>
        <v>0</v>
      </c>
      <c r="AC83" s="18">
        <f t="shared" si="22"/>
        <v>0</v>
      </c>
    </row>
    <row r="84" spans="1:29" s="44" customFormat="1" ht="18">
      <c r="A84" s="28"/>
      <c r="B84" s="29" t="s">
        <v>26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</row>
    <row r="85" spans="1:29" s="44" customFormat="1" ht="31.5">
      <c r="A85" s="28" t="s">
        <v>154</v>
      </c>
      <c r="B85" s="29" t="s">
        <v>155</v>
      </c>
      <c r="C85" s="25">
        <f t="shared" ref="C85:D87" si="23">F85+H85+J85+L85+N85+P85+R85+T85+V85+X85+Z85+AB85</f>
        <v>0</v>
      </c>
      <c r="D85" s="25">
        <f t="shared" si="23"/>
        <v>0</v>
      </c>
      <c r="E85" s="25" t="e">
        <f>D85/C85*100</f>
        <v>#DIV/0!</v>
      </c>
      <c r="F85" s="25"/>
      <c r="G85" s="25"/>
      <c r="H85" s="25"/>
      <c r="I85" s="70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29" s="44" customFormat="1" ht="18">
      <c r="A86" s="28" t="s">
        <v>156</v>
      </c>
      <c r="B86" s="29" t="s">
        <v>157</v>
      </c>
      <c r="C86" s="25">
        <f t="shared" si="23"/>
        <v>0</v>
      </c>
      <c r="D86" s="25">
        <f t="shared" si="23"/>
        <v>0</v>
      </c>
      <c r="E86" s="25" t="e">
        <f>D86/C86*100</f>
        <v>#DIV/0!</v>
      </c>
      <c r="F86" s="25"/>
      <c r="G86" s="25"/>
      <c r="H86" s="25"/>
      <c r="I86" s="70"/>
      <c r="J86" s="25"/>
      <c r="K86" s="78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29" s="44" customFormat="1" ht="18">
      <c r="A87" s="30" t="s">
        <v>158</v>
      </c>
      <c r="B87" s="31" t="s">
        <v>159</v>
      </c>
      <c r="C87" s="18">
        <f t="shared" si="23"/>
        <v>0</v>
      </c>
      <c r="D87" s="18">
        <f t="shared" si="23"/>
        <v>0</v>
      </c>
      <c r="E87" s="18" t="e">
        <f>D87/C87*100</f>
        <v>#DIV/0!</v>
      </c>
      <c r="F87" s="18"/>
      <c r="G87" s="18">
        <v>0</v>
      </c>
      <c r="H87" s="18"/>
      <c r="I87" s="18">
        <v>0</v>
      </c>
      <c r="J87" s="18"/>
      <c r="K87" s="18"/>
      <c r="L87" s="18"/>
      <c r="M87" s="18"/>
      <c r="N87" s="18"/>
      <c r="O87" s="18"/>
      <c r="P87" s="18"/>
      <c r="Q87" s="18"/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45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</row>
    <row r="88" spans="1:29" s="44" customFormat="1" ht="36" customHeight="1">
      <c r="A88" s="28"/>
      <c r="B88" s="46" t="s">
        <v>160</v>
      </c>
      <c r="C88" s="47">
        <f t="shared" ref="C88:AC88" si="24">C9+C10+C11+C27+C41+C42+C75+C76+C82+C83+C87</f>
        <v>12663.685269</v>
      </c>
      <c r="D88" s="47">
        <f t="shared" si="24"/>
        <v>8667.1438400000006</v>
      </c>
      <c r="E88" s="47" t="e">
        <f t="shared" si="24"/>
        <v>#DIV/0!</v>
      </c>
      <c r="F88" s="47">
        <f t="shared" si="24"/>
        <v>0</v>
      </c>
      <c r="G88" s="47">
        <f t="shared" si="24"/>
        <v>0</v>
      </c>
      <c r="H88" s="47">
        <f t="shared" si="24"/>
        <v>0</v>
      </c>
      <c r="I88" s="47">
        <f t="shared" si="24"/>
        <v>0</v>
      </c>
      <c r="J88" s="47">
        <f t="shared" si="24"/>
        <v>0</v>
      </c>
      <c r="K88" s="47">
        <f t="shared" si="24"/>
        <v>0</v>
      </c>
      <c r="L88" s="47">
        <f t="shared" si="24"/>
        <v>4221.2284199999995</v>
      </c>
      <c r="M88" s="47">
        <f t="shared" si="24"/>
        <v>2798.4516399999998</v>
      </c>
      <c r="N88" s="47">
        <f t="shared" si="24"/>
        <v>4221.2284199999995</v>
      </c>
      <c r="O88" s="47">
        <f t="shared" si="24"/>
        <v>2615.5476899999994</v>
      </c>
      <c r="P88" s="47">
        <f t="shared" si="24"/>
        <v>4221.2284290000007</v>
      </c>
      <c r="Q88" s="47">
        <f t="shared" si="24"/>
        <v>3253.1447099999996</v>
      </c>
      <c r="R88" s="47">
        <f t="shared" si="24"/>
        <v>0</v>
      </c>
      <c r="S88" s="47">
        <f t="shared" si="24"/>
        <v>0</v>
      </c>
      <c r="T88" s="47">
        <f t="shared" si="24"/>
        <v>0</v>
      </c>
      <c r="U88" s="47">
        <f t="shared" si="24"/>
        <v>0</v>
      </c>
      <c r="V88" s="47">
        <f t="shared" si="24"/>
        <v>0</v>
      </c>
      <c r="W88" s="47">
        <f t="shared" si="24"/>
        <v>-5.0000000000000002E-5</v>
      </c>
      <c r="X88" s="47">
        <f t="shared" si="24"/>
        <v>0</v>
      </c>
      <c r="Y88" s="47">
        <f t="shared" si="24"/>
        <v>-5.0000000000000002E-5</v>
      </c>
      <c r="Z88" s="47">
        <f t="shared" si="24"/>
        <v>0</v>
      </c>
      <c r="AA88" s="47">
        <f t="shared" si="24"/>
        <v>-5.0000000000000002E-5</v>
      </c>
      <c r="AB88" s="47">
        <f t="shared" si="24"/>
        <v>0</v>
      </c>
      <c r="AC88" s="47">
        <f t="shared" si="24"/>
        <v>-5.0000000000000002E-5</v>
      </c>
    </row>
    <row r="89" spans="1:29" s="44" customFormat="1" ht="18">
      <c r="A89" s="48"/>
      <c r="B89" s="7"/>
      <c r="C89" s="7"/>
      <c r="D89" s="8"/>
      <c r="E89" s="7"/>
      <c r="F89" s="54"/>
      <c r="G89" s="11"/>
      <c r="H89" s="54"/>
      <c r="I89" s="7"/>
      <c r="J89" s="54"/>
      <c r="K89" s="11"/>
      <c r="L89" s="54"/>
      <c r="M89" s="53"/>
      <c r="N89" s="54"/>
      <c r="O89" s="53"/>
      <c r="P89" s="54"/>
      <c r="Q89" s="53"/>
      <c r="R89" s="54"/>
      <c r="S89" s="53"/>
      <c r="T89" s="54"/>
      <c r="U89" s="53"/>
      <c r="V89" s="54"/>
      <c r="W89" s="53"/>
      <c r="X89" s="54"/>
      <c r="Y89" s="53"/>
      <c r="Z89" s="55"/>
      <c r="AB89" s="55"/>
    </row>
    <row r="90" spans="1:29" s="44" customFormat="1" ht="18.75">
      <c r="A90" s="48"/>
      <c r="B90" s="56" t="s">
        <v>161</v>
      </c>
      <c r="C90" s="79"/>
      <c r="D90" s="8"/>
      <c r="E90" s="80"/>
      <c r="F90" s="7"/>
      <c r="G90" s="56" t="s">
        <v>162</v>
      </c>
      <c r="H90" s="7"/>
      <c r="I90" s="7"/>
      <c r="J90" s="7"/>
      <c r="K90" s="7"/>
      <c r="M90" s="81"/>
      <c r="Q90" s="61"/>
      <c r="S90" s="61"/>
      <c r="U90" s="61"/>
      <c r="W90" s="61"/>
      <c r="Y90" s="61"/>
      <c r="AA90" s="61"/>
      <c r="AC90" s="61"/>
    </row>
    <row r="91" spans="1:29" s="44" customFormat="1" ht="16.5" customHeight="1">
      <c r="A91" s="48"/>
      <c r="B91" s="7"/>
      <c r="C91" s="8"/>
      <c r="D91" s="8"/>
      <c r="E91" s="82" t="s">
        <v>163</v>
      </c>
      <c r="F91" s="7"/>
      <c r="G91" s="7"/>
      <c r="H91" s="7"/>
      <c r="I91" s="8"/>
      <c r="J91" s="7"/>
      <c r="K91" s="7"/>
    </row>
    <row r="92" spans="1:29" s="44" customFormat="1" ht="18">
      <c r="A92" s="48"/>
      <c r="B92" s="7"/>
      <c r="C92" s="7"/>
      <c r="D92" s="7"/>
      <c r="E92" s="7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53"/>
      <c r="Y92" s="53"/>
      <c r="Z92" s="53"/>
      <c r="AA92" s="53"/>
      <c r="AB92" s="53"/>
      <c r="AC92" s="53"/>
    </row>
    <row r="93" spans="1:29" s="44" customFormat="1" ht="18">
      <c r="A93" s="48"/>
      <c r="B93" s="7"/>
      <c r="C93" s="7"/>
      <c r="D93" s="83"/>
      <c r="E93" s="7"/>
      <c r="F93" s="11"/>
      <c r="G93" s="11"/>
      <c r="H93" s="11"/>
      <c r="I93" s="11"/>
      <c r="J93" s="11"/>
      <c r="K93" s="11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</row>
    <row r="94" spans="1:29" s="44" customFormat="1" ht="38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</row>
    <row r="95" spans="1:29" s="44" customFormat="1" ht="18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</row>
    <row r="96" spans="1:29" s="44" customFormat="1" ht="40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</row>
    <row r="97" spans="2:10" s="44" customFormat="1" ht="18">
      <c r="B97" s="66"/>
      <c r="C97" s="66"/>
      <c r="D97" s="66"/>
      <c r="E97" s="66"/>
      <c r="F97" s="66"/>
      <c r="G97" s="66"/>
      <c r="H97" s="66"/>
      <c r="I97" s="66"/>
      <c r="J97" s="66"/>
    </row>
    <row r="98" spans="2:10" s="44" customFormat="1" ht="18">
      <c r="B98" s="66"/>
      <c r="C98" s="66"/>
      <c r="D98" s="66"/>
      <c r="E98" s="66"/>
      <c r="F98" s="66"/>
      <c r="G98" s="66"/>
      <c r="H98" s="66"/>
      <c r="I98" s="66"/>
      <c r="J98" s="66"/>
    </row>
    <row r="99" spans="2:10" s="44" customFormat="1" ht="18">
      <c r="B99" s="66"/>
      <c r="C99" s="66"/>
      <c r="D99" s="66"/>
      <c r="E99" s="66"/>
      <c r="F99" s="66"/>
      <c r="G99" s="66"/>
      <c r="H99" s="66"/>
      <c r="I99" s="66"/>
      <c r="J99" s="66"/>
    </row>
    <row r="100" spans="2:10">
      <c r="B100" s="66"/>
      <c r="C100" s="66"/>
      <c r="D100" s="66"/>
      <c r="E100" s="66"/>
      <c r="F100" s="66"/>
      <c r="G100" s="66"/>
      <c r="H100" s="66"/>
      <c r="I100" s="66"/>
      <c r="J100" s="66"/>
    </row>
    <row r="101" spans="2:10">
      <c r="B101" s="66"/>
      <c r="C101" s="66"/>
      <c r="D101" s="66"/>
      <c r="E101" s="66"/>
      <c r="F101" s="66"/>
      <c r="G101" s="66"/>
      <c r="H101" s="66"/>
      <c r="I101" s="66"/>
      <c r="J101" s="66"/>
    </row>
    <row r="102" spans="2:10">
      <c r="B102" s="66"/>
      <c r="C102" s="66"/>
      <c r="D102" s="66"/>
      <c r="E102" s="66"/>
      <c r="F102" s="66"/>
      <c r="G102" s="66"/>
      <c r="H102" s="66"/>
      <c r="I102" s="66"/>
      <c r="J102" s="66"/>
    </row>
    <row r="103" spans="2:10">
      <c r="B103" s="66"/>
      <c r="C103" s="66"/>
      <c r="D103" s="66"/>
      <c r="E103" s="66"/>
      <c r="F103" s="66"/>
      <c r="G103" s="66"/>
      <c r="H103" s="66"/>
      <c r="I103" s="66"/>
      <c r="J103" s="66"/>
    </row>
    <row r="104" spans="2:10">
      <c r="B104" s="66"/>
      <c r="C104" s="66"/>
      <c r="D104" s="66"/>
      <c r="E104" s="66"/>
      <c r="F104" s="66"/>
      <c r="G104" s="66"/>
      <c r="H104" s="66"/>
      <c r="I104" s="66"/>
      <c r="J104" s="66"/>
    </row>
    <row r="105" spans="2:10">
      <c r="B105" s="66"/>
      <c r="C105" s="66"/>
      <c r="D105" s="66"/>
      <c r="E105" s="66"/>
      <c r="F105" s="66"/>
      <c r="G105" s="66"/>
      <c r="H105" s="66"/>
      <c r="I105" s="66"/>
      <c r="J105" s="66"/>
    </row>
    <row r="106" spans="2:10">
      <c r="B106" s="66"/>
      <c r="C106" s="66"/>
      <c r="D106" s="66"/>
      <c r="E106" s="66"/>
      <c r="F106" s="66"/>
      <c r="G106" s="66"/>
      <c r="H106" s="66"/>
      <c r="I106" s="66"/>
      <c r="J106" s="66"/>
    </row>
    <row r="107" spans="2:10">
      <c r="B107" s="66"/>
      <c r="C107" s="66"/>
      <c r="D107" s="66"/>
      <c r="E107" s="66"/>
      <c r="F107" s="66"/>
      <c r="G107" s="66"/>
      <c r="H107" s="66"/>
      <c r="I107" s="66"/>
      <c r="J107" s="66"/>
    </row>
    <row r="108" spans="2:10">
      <c r="B108" s="66"/>
      <c r="C108" s="66"/>
      <c r="D108" s="66"/>
      <c r="E108" s="66"/>
      <c r="F108" s="66"/>
      <c r="G108" s="66"/>
      <c r="H108" s="66"/>
      <c r="I108" s="66"/>
      <c r="J108" s="66"/>
    </row>
    <row r="109" spans="2:10">
      <c r="B109" s="66"/>
      <c r="C109" s="66"/>
      <c r="D109" s="66"/>
      <c r="E109" s="66"/>
      <c r="F109" s="66"/>
      <c r="G109" s="66"/>
      <c r="H109" s="66"/>
      <c r="I109" s="66"/>
      <c r="J109" s="66"/>
    </row>
    <row r="110" spans="2:10">
      <c r="B110" s="66"/>
      <c r="C110" s="66"/>
      <c r="D110" s="66"/>
      <c r="E110" s="66"/>
      <c r="F110" s="66"/>
      <c r="G110" s="66"/>
      <c r="H110" s="66"/>
      <c r="I110" s="66"/>
      <c r="J110" s="66"/>
    </row>
    <row r="111" spans="2:10">
      <c r="B111" s="66"/>
      <c r="C111" s="66"/>
      <c r="D111" s="66"/>
      <c r="E111" s="66"/>
      <c r="F111" s="66"/>
      <c r="G111" s="66"/>
      <c r="H111" s="66"/>
      <c r="I111" s="66"/>
      <c r="J111" s="66"/>
    </row>
    <row r="112" spans="2:10">
      <c r="B112" s="66"/>
      <c r="C112" s="66"/>
      <c r="D112" s="66"/>
      <c r="E112" s="66"/>
      <c r="F112" s="66"/>
      <c r="G112" s="66"/>
      <c r="H112" s="66"/>
      <c r="I112" s="66"/>
      <c r="J112" s="66"/>
    </row>
    <row r="113" spans="2:10">
      <c r="B113" s="66"/>
      <c r="C113" s="66"/>
      <c r="D113" s="66"/>
      <c r="E113" s="66"/>
      <c r="F113" s="66"/>
      <c r="G113" s="66"/>
      <c r="H113" s="66"/>
      <c r="I113" s="66"/>
      <c r="J113" s="66"/>
    </row>
    <row r="114" spans="2:10">
      <c r="B114" s="66"/>
      <c r="C114" s="66"/>
      <c r="D114" s="66"/>
      <c r="E114" s="66"/>
      <c r="F114" s="66"/>
      <c r="G114" s="66"/>
      <c r="H114" s="66"/>
      <c r="I114" s="66"/>
      <c r="J114" s="66"/>
    </row>
    <row r="115" spans="2:10">
      <c r="B115" s="66"/>
      <c r="C115" s="66"/>
      <c r="D115" s="66"/>
      <c r="E115" s="66"/>
      <c r="F115" s="66"/>
      <c r="G115" s="66"/>
      <c r="H115" s="66"/>
      <c r="I115" s="66"/>
      <c r="J115" s="66"/>
    </row>
    <row r="116" spans="2:10">
      <c r="B116" s="66"/>
      <c r="C116" s="66"/>
      <c r="D116" s="66"/>
      <c r="E116" s="66"/>
      <c r="F116" s="66"/>
      <c r="G116" s="66"/>
      <c r="H116" s="66"/>
      <c r="I116" s="66"/>
      <c r="J116" s="66"/>
    </row>
    <row r="117" spans="2:10">
      <c r="B117" s="66"/>
      <c r="C117" s="66"/>
      <c r="D117" s="66"/>
      <c r="E117" s="66"/>
      <c r="F117" s="66"/>
      <c r="G117" s="66"/>
      <c r="H117" s="66"/>
      <c r="I117" s="66"/>
      <c r="J117" s="66"/>
    </row>
    <row r="118" spans="2:10">
      <c r="B118" s="66"/>
      <c r="C118" s="66"/>
      <c r="D118" s="66"/>
      <c r="E118" s="66"/>
      <c r="F118" s="66"/>
      <c r="G118" s="66"/>
      <c r="H118" s="66"/>
      <c r="I118" s="66"/>
      <c r="J118" s="66"/>
    </row>
    <row r="119" spans="2:10">
      <c r="B119" s="66"/>
      <c r="C119" s="66"/>
      <c r="D119" s="66"/>
      <c r="E119" s="66"/>
      <c r="F119" s="66"/>
      <c r="G119" s="66"/>
      <c r="H119" s="66"/>
      <c r="I119" s="66"/>
      <c r="J119" s="66"/>
    </row>
    <row r="120" spans="2:10">
      <c r="B120" s="66"/>
      <c r="C120" s="66"/>
      <c r="D120" s="66"/>
      <c r="E120" s="66"/>
      <c r="F120" s="66"/>
      <c r="G120" s="66"/>
      <c r="H120" s="66"/>
      <c r="I120" s="66"/>
      <c r="J120" s="66"/>
    </row>
    <row r="121" spans="2:10">
      <c r="B121" s="66"/>
      <c r="C121" s="66"/>
      <c r="D121" s="66"/>
      <c r="E121" s="66"/>
      <c r="F121" s="66"/>
      <c r="G121" s="66"/>
      <c r="H121" s="66"/>
      <c r="I121" s="66"/>
      <c r="J121" s="66"/>
    </row>
    <row r="122" spans="2:10">
      <c r="B122" s="66"/>
      <c r="C122" s="66"/>
      <c r="D122" s="66"/>
      <c r="E122" s="66"/>
      <c r="F122" s="66"/>
      <c r="G122" s="66"/>
      <c r="H122" s="66"/>
      <c r="I122" s="66"/>
      <c r="J122" s="66"/>
    </row>
    <row r="123" spans="2:10">
      <c r="B123" s="66"/>
      <c r="C123" s="66"/>
      <c r="D123" s="66"/>
      <c r="E123" s="66"/>
      <c r="F123" s="66"/>
      <c r="G123" s="66"/>
      <c r="H123" s="66"/>
      <c r="I123" s="66"/>
      <c r="J123" s="66"/>
    </row>
    <row r="124" spans="2:10">
      <c r="B124" s="66"/>
      <c r="C124" s="66"/>
      <c r="D124" s="66"/>
      <c r="E124" s="66"/>
      <c r="F124" s="66"/>
      <c r="G124" s="66"/>
      <c r="H124" s="66"/>
      <c r="I124" s="66"/>
      <c r="J124" s="66"/>
    </row>
    <row r="125" spans="2:10">
      <c r="B125" s="66"/>
      <c r="C125" s="66"/>
      <c r="D125" s="66"/>
      <c r="E125" s="66"/>
      <c r="F125" s="66"/>
      <c r="G125" s="66"/>
      <c r="H125" s="66"/>
      <c r="I125" s="66"/>
      <c r="J125" s="66"/>
    </row>
    <row r="126" spans="2:10">
      <c r="B126" s="66"/>
      <c r="C126" s="66"/>
      <c r="D126" s="66"/>
      <c r="E126" s="66"/>
      <c r="F126" s="66"/>
      <c r="G126" s="66"/>
      <c r="H126" s="66"/>
      <c r="I126" s="66"/>
      <c r="J126" s="66"/>
    </row>
    <row r="127" spans="2:10">
      <c r="B127" s="66"/>
      <c r="C127" s="66"/>
      <c r="D127" s="66"/>
      <c r="E127" s="66"/>
      <c r="F127" s="66"/>
      <c r="G127" s="66"/>
      <c r="H127" s="66"/>
      <c r="I127" s="66"/>
      <c r="J127" s="66"/>
    </row>
    <row r="128" spans="2:10">
      <c r="B128" s="66"/>
      <c r="C128" s="66"/>
      <c r="D128" s="66"/>
      <c r="E128" s="66"/>
      <c r="F128" s="66"/>
      <c r="G128" s="66"/>
      <c r="H128" s="66"/>
      <c r="I128" s="66"/>
      <c r="J128" s="66"/>
    </row>
    <row r="129" spans="2:10">
      <c r="B129" s="66"/>
      <c r="C129" s="66"/>
      <c r="D129" s="66"/>
      <c r="E129" s="66"/>
      <c r="F129" s="66"/>
      <c r="G129" s="66"/>
      <c r="H129" s="66"/>
      <c r="I129" s="66"/>
      <c r="J129" s="66"/>
    </row>
    <row r="130" spans="2:10">
      <c r="B130" s="66"/>
      <c r="C130" s="66"/>
      <c r="D130" s="66"/>
      <c r="E130" s="66"/>
      <c r="F130" s="66"/>
      <c r="G130" s="66"/>
      <c r="H130" s="66"/>
      <c r="I130" s="66"/>
      <c r="J130" s="66"/>
    </row>
    <row r="131" spans="2:10">
      <c r="B131" s="66"/>
      <c r="C131" s="66"/>
      <c r="D131" s="66"/>
      <c r="E131" s="66"/>
      <c r="F131" s="66"/>
      <c r="G131" s="66"/>
      <c r="H131" s="66"/>
      <c r="I131" s="66"/>
      <c r="J131" s="66"/>
    </row>
    <row r="132" spans="2:10">
      <c r="B132" s="66"/>
      <c r="C132" s="66"/>
      <c r="D132" s="66"/>
      <c r="E132" s="66"/>
      <c r="F132" s="66"/>
      <c r="G132" s="66"/>
      <c r="H132" s="66"/>
      <c r="I132" s="66"/>
      <c r="J132" s="66"/>
    </row>
    <row r="133" spans="2:10">
      <c r="B133" s="66"/>
      <c r="C133" s="66"/>
      <c r="D133" s="66"/>
      <c r="E133" s="66"/>
      <c r="F133" s="66"/>
      <c r="G133" s="66"/>
      <c r="H133" s="66"/>
      <c r="I133" s="66"/>
      <c r="J133" s="66"/>
    </row>
    <row r="134" spans="2:10">
      <c r="B134" s="66"/>
      <c r="C134" s="66"/>
      <c r="D134" s="66"/>
      <c r="E134" s="66"/>
      <c r="F134" s="66"/>
      <c r="G134" s="66"/>
      <c r="H134" s="66"/>
      <c r="I134" s="66"/>
      <c r="J134" s="66"/>
    </row>
    <row r="135" spans="2:10">
      <c r="B135" s="66"/>
      <c r="C135" s="66"/>
      <c r="D135" s="66"/>
      <c r="E135" s="66"/>
      <c r="F135" s="66"/>
      <c r="G135" s="66"/>
      <c r="H135" s="66"/>
      <c r="I135" s="66"/>
      <c r="J135" s="66"/>
    </row>
    <row r="136" spans="2:10">
      <c r="B136" s="66"/>
      <c r="C136" s="66"/>
      <c r="D136" s="66"/>
      <c r="E136" s="66"/>
      <c r="F136" s="66"/>
      <c r="G136" s="66"/>
      <c r="H136" s="66"/>
      <c r="I136" s="66"/>
      <c r="J136" s="66"/>
    </row>
    <row r="137" spans="2:10">
      <c r="B137" s="66"/>
      <c r="C137" s="66"/>
      <c r="D137" s="66"/>
      <c r="E137" s="66"/>
      <c r="F137" s="66"/>
      <c r="G137" s="66"/>
      <c r="H137" s="66"/>
      <c r="I137" s="66"/>
      <c r="J137" s="66"/>
    </row>
    <row r="138" spans="2:10">
      <c r="B138" s="66"/>
      <c r="C138" s="66"/>
      <c r="D138" s="66"/>
      <c r="E138" s="66"/>
      <c r="F138" s="66"/>
      <c r="G138" s="66"/>
      <c r="H138" s="66"/>
      <c r="I138" s="66"/>
      <c r="J138" s="66"/>
    </row>
    <row r="139" spans="2:10">
      <c r="B139" s="66"/>
      <c r="C139" s="66"/>
      <c r="D139" s="66"/>
      <c r="E139" s="66"/>
      <c r="F139" s="66"/>
      <c r="G139" s="66"/>
      <c r="H139" s="66"/>
      <c r="I139" s="66"/>
      <c r="J139" s="66"/>
    </row>
    <row r="140" spans="2:10">
      <c r="B140" s="66"/>
      <c r="C140" s="66"/>
      <c r="D140" s="66"/>
      <c r="E140" s="66"/>
      <c r="F140" s="66"/>
      <c r="G140" s="66"/>
      <c r="H140" s="66"/>
      <c r="I140" s="66"/>
      <c r="J140" s="66"/>
    </row>
    <row r="141" spans="2:10">
      <c r="B141" s="66"/>
      <c r="C141" s="66"/>
      <c r="D141" s="66"/>
      <c r="E141" s="66"/>
      <c r="F141" s="66"/>
      <c r="G141" s="66"/>
      <c r="H141" s="66"/>
      <c r="I141" s="66"/>
      <c r="J141" s="66"/>
    </row>
    <row r="142" spans="2:10">
      <c r="B142" s="66"/>
      <c r="C142" s="66"/>
      <c r="D142" s="66"/>
      <c r="E142" s="66"/>
      <c r="F142" s="66"/>
      <c r="G142" s="66"/>
      <c r="H142" s="66"/>
      <c r="I142" s="66"/>
      <c r="J142" s="66"/>
    </row>
    <row r="143" spans="2:10">
      <c r="B143" s="66"/>
      <c r="C143" s="66"/>
      <c r="D143" s="66"/>
      <c r="E143" s="66"/>
      <c r="F143" s="66"/>
      <c r="G143" s="66"/>
      <c r="H143" s="66"/>
      <c r="I143" s="66"/>
      <c r="J143" s="66"/>
    </row>
    <row r="144" spans="2:10">
      <c r="B144" s="66"/>
      <c r="C144" s="66"/>
      <c r="D144" s="66"/>
      <c r="E144" s="66"/>
      <c r="F144" s="66"/>
      <c r="G144" s="66"/>
      <c r="H144" s="66"/>
      <c r="I144" s="66"/>
      <c r="J144" s="66"/>
    </row>
    <row r="145" spans="2:10">
      <c r="B145" s="66"/>
      <c r="C145" s="66"/>
      <c r="D145" s="66"/>
      <c r="E145" s="66"/>
      <c r="F145" s="66"/>
      <c r="G145" s="66"/>
      <c r="H145" s="66"/>
      <c r="I145" s="66"/>
      <c r="J145" s="66"/>
    </row>
    <row r="146" spans="2:10">
      <c r="B146" s="66"/>
      <c r="C146" s="66"/>
      <c r="D146" s="66"/>
      <c r="E146" s="66"/>
      <c r="F146" s="66"/>
      <c r="G146" s="66"/>
      <c r="H146" s="66"/>
      <c r="I146" s="66"/>
      <c r="J146" s="66"/>
    </row>
    <row r="147" spans="2:10">
      <c r="B147" s="66"/>
      <c r="C147" s="66"/>
      <c r="D147" s="66"/>
      <c r="E147" s="66"/>
      <c r="F147" s="66"/>
      <c r="G147" s="66"/>
      <c r="H147" s="66"/>
      <c r="I147" s="66"/>
      <c r="J147" s="66"/>
    </row>
    <row r="148" spans="2:10">
      <c r="B148" s="66"/>
      <c r="C148" s="66"/>
      <c r="D148" s="66"/>
      <c r="E148" s="66"/>
      <c r="F148" s="66"/>
      <c r="G148" s="66"/>
      <c r="H148" s="66"/>
      <c r="I148" s="66"/>
      <c r="J148" s="66"/>
    </row>
    <row r="149" spans="2:10">
      <c r="B149" s="66"/>
      <c r="C149" s="66"/>
      <c r="D149" s="66"/>
      <c r="E149" s="66"/>
      <c r="F149" s="66"/>
      <c r="G149" s="66"/>
      <c r="H149" s="66"/>
      <c r="I149" s="66"/>
      <c r="J149" s="66"/>
    </row>
    <row r="150" spans="2:10">
      <c r="B150" s="66"/>
      <c r="C150" s="66"/>
      <c r="D150" s="66"/>
      <c r="E150" s="66"/>
      <c r="F150" s="66"/>
      <c r="G150" s="66"/>
      <c r="H150" s="66"/>
      <c r="I150" s="66"/>
      <c r="J150" s="66"/>
    </row>
    <row r="151" spans="2:10">
      <c r="B151" s="66"/>
      <c r="C151" s="66"/>
      <c r="D151" s="66"/>
      <c r="E151" s="66"/>
      <c r="F151" s="66"/>
      <c r="G151" s="66"/>
      <c r="H151" s="66"/>
      <c r="I151" s="66"/>
      <c r="J151" s="66"/>
    </row>
    <row r="152" spans="2:10">
      <c r="B152" s="66"/>
      <c r="C152" s="66"/>
      <c r="D152" s="66"/>
      <c r="E152" s="66"/>
      <c r="F152" s="66"/>
      <c r="G152" s="66"/>
      <c r="H152" s="66"/>
      <c r="I152" s="66"/>
      <c r="J152" s="66"/>
    </row>
    <row r="153" spans="2:10">
      <c r="B153" s="66"/>
      <c r="C153" s="66"/>
      <c r="D153" s="66"/>
      <c r="E153" s="66"/>
      <c r="F153" s="66"/>
      <c r="G153" s="66"/>
      <c r="H153" s="66"/>
      <c r="I153" s="66"/>
      <c r="J153" s="66"/>
    </row>
    <row r="154" spans="2:10">
      <c r="B154" s="66"/>
      <c r="C154" s="66"/>
      <c r="D154" s="66"/>
      <c r="E154" s="66"/>
      <c r="F154" s="66"/>
      <c r="G154" s="66"/>
      <c r="H154" s="66"/>
      <c r="I154" s="66"/>
      <c r="J154" s="66"/>
    </row>
    <row r="155" spans="2:10">
      <c r="B155" s="66"/>
      <c r="C155" s="66"/>
      <c r="D155" s="66"/>
      <c r="E155" s="66"/>
      <c r="F155" s="66"/>
      <c r="G155" s="66"/>
      <c r="H155" s="66"/>
      <c r="I155" s="66"/>
      <c r="J155" s="66"/>
    </row>
    <row r="156" spans="2:10">
      <c r="B156" s="66"/>
      <c r="C156" s="66"/>
      <c r="D156" s="66"/>
      <c r="E156" s="66"/>
      <c r="F156" s="66"/>
      <c r="G156" s="66"/>
      <c r="H156" s="66"/>
      <c r="I156" s="66"/>
      <c r="J156" s="66"/>
    </row>
    <row r="157" spans="2:10">
      <c r="B157" s="66"/>
      <c r="C157" s="66"/>
      <c r="D157" s="66"/>
      <c r="E157" s="66"/>
      <c r="F157" s="66"/>
      <c r="G157" s="66"/>
      <c r="H157" s="66"/>
      <c r="I157" s="66"/>
      <c r="J157" s="66"/>
    </row>
    <row r="158" spans="2:10">
      <c r="B158" s="66"/>
      <c r="C158" s="66"/>
      <c r="D158" s="66"/>
      <c r="E158" s="66"/>
      <c r="F158" s="66"/>
      <c r="G158" s="66"/>
      <c r="H158" s="66"/>
      <c r="I158" s="66"/>
      <c r="J158" s="66"/>
    </row>
    <row r="159" spans="2:10">
      <c r="B159" s="66"/>
      <c r="C159" s="66"/>
      <c r="D159" s="66"/>
      <c r="E159" s="66"/>
      <c r="F159" s="66"/>
      <c r="G159" s="66"/>
      <c r="H159" s="66"/>
      <c r="I159" s="66"/>
      <c r="J159" s="66"/>
    </row>
    <row r="160" spans="2:10">
      <c r="B160" s="66"/>
      <c r="C160" s="66"/>
      <c r="D160" s="66"/>
      <c r="E160" s="66"/>
      <c r="F160" s="66"/>
      <c r="G160" s="66"/>
      <c r="H160" s="66"/>
      <c r="I160" s="66"/>
      <c r="J160" s="66"/>
    </row>
    <row r="161" spans="2:10">
      <c r="B161" s="66"/>
      <c r="C161" s="66"/>
      <c r="D161" s="66"/>
      <c r="E161" s="66"/>
      <c r="F161" s="66"/>
      <c r="G161" s="66"/>
      <c r="H161" s="66"/>
      <c r="I161" s="66"/>
      <c r="J161" s="66"/>
    </row>
    <row r="162" spans="2:10">
      <c r="B162" s="66"/>
      <c r="C162" s="66"/>
      <c r="D162" s="66"/>
      <c r="E162" s="66"/>
      <c r="F162" s="66"/>
      <c r="G162" s="66"/>
      <c r="H162" s="66"/>
      <c r="I162" s="66"/>
      <c r="J162" s="66"/>
    </row>
    <row r="163" spans="2:10">
      <c r="B163" s="66"/>
      <c r="C163" s="66"/>
      <c r="D163" s="66"/>
      <c r="E163" s="66"/>
      <c r="F163" s="66"/>
      <c r="G163" s="66"/>
      <c r="H163" s="66"/>
      <c r="I163" s="66"/>
      <c r="J163" s="66"/>
    </row>
    <row r="164" spans="2:10">
      <c r="B164" s="66"/>
      <c r="C164" s="66"/>
      <c r="D164" s="66"/>
      <c r="E164" s="66"/>
      <c r="F164" s="66"/>
      <c r="G164" s="66"/>
      <c r="H164" s="66"/>
      <c r="I164" s="66"/>
      <c r="J164" s="66"/>
    </row>
    <row r="165" spans="2:10">
      <c r="B165" s="66"/>
      <c r="C165" s="66"/>
      <c r="D165" s="66"/>
      <c r="E165" s="66"/>
      <c r="F165" s="66"/>
      <c r="G165" s="66"/>
      <c r="H165" s="66"/>
      <c r="I165" s="66"/>
      <c r="J165" s="66"/>
    </row>
    <row r="166" spans="2:10">
      <c r="B166" s="66"/>
      <c r="C166" s="66"/>
      <c r="D166" s="66"/>
      <c r="E166" s="66"/>
      <c r="F166" s="66"/>
      <c r="G166" s="66"/>
      <c r="H166" s="66"/>
      <c r="I166" s="66"/>
      <c r="J166" s="66"/>
    </row>
    <row r="167" spans="2:10">
      <c r="B167" s="66"/>
      <c r="C167" s="66"/>
      <c r="D167" s="66"/>
      <c r="E167" s="66"/>
      <c r="F167" s="66"/>
      <c r="G167" s="66"/>
      <c r="H167" s="66"/>
      <c r="I167" s="66"/>
      <c r="J167" s="66"/>
    </row>
    <row r="168" spans="2:10">
      <c r="B168" s="66"/>
      <c r="C168" s="66"/>
      <c r="D168" s="66"/>
      <c r="E168" s="66"/>
      <c r="F168" s="66"/>
      <c r="G168" s="66"/>
      <c r="H168" s="66"/>
      <c r="I168" s="66"/>
      <c r="J168" s="66"/>
    </row>
    <row r="169" spans="2:10">
      <c r="B169" s="66"/>
      <c r="C169" s="66"/>
      <c r="D169" s="66"/>
      <c r="E169" s="66"/>
      <c r="F169" s="66"/>
      <c r="G169" s="66"/>
      <c r="H169" s="66"/>
      <c r="I169" s="66"/>
      <c r="J169" s="66"/>
    </row>
    <row r="170" spans="2:10">
      <c r="B170" s="66"/>
      <c r="C170" s="66"/>
      <c r="D170" s="66"/>
      <c r="E170" s="66"/>
      <c r="F170" s="66"/>
      <c r="G170" s="66"/>
      <c r="H170" s="66"/>
      <c r="I170" s="66"/>
      <c r="J170" s="66"/>
    </row>
    <row r="171" spans="2:10">
      <c r="B171" s="66"/>
      <c r="C171" s="66"/>
      <c r="D171" s="66"/>
      <c r="E171" s="66"/>
      <c r="F171" s="66"/>
      <c r="G171" s="66"/>
      <c r="H171" s="66"/>
      <c r="I171" s="66"/>
      <c r="J171" s="66"/>
    </row>
  </sheetData>
  <mergeCells count="23">
    <mergeCell ref="Z7:AA7"/>
    <mergeCell ref="AB7:AC7"/>
    <mergeCell ref="P7:Q7"/>
    <mergeCell ref="R7:S7"/>
    <mergeCell ref="T7:U7"/>
    <mergeCell ref="V7:W7"/>
    <mergeCell ref="X7:Y7"/>
    <mergeCell ref="AB1:AC1"/>
    <mergeCell ref="A2:AC2"/>
    <mergeCell ref="A3:AC3"/>
    <mergeCell ref="A4:AC4"/>
    <mergeCell ref="A6:A8"/>
    <mergeCell ref="B6:B8"/>
    <mergeCell ref="C6:E7"/>
    <mergeCell ref="F6:K6"/>
    <mergeCell ref="L6:Q6"/>
    <mergeCell ref="R6:W6"/>
    <mergeCell ref="X6:AC6"/>
    <mergeCell ref="F7:G7"/>
    <mergeCell ref="H7:I7"/>
    <mergeCell ref="J7:K7"/>
    <mergeCell ref="L7:M7"/>
    <mergeCell ref="N7:O7"/>
  </mergeCells>
  <pageMargins left="0" right="0" top="0" bottom="0" header="0.51180555555555496" footer="0.51180555555555496"/>
  <pageSetup paperSize="9" scale="35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LibreOffice/6.3.4.2$Linux_X86_64 LibreOffice_project/60da17e045e08f1793c57c00ba83cdfce946d0aa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І півріччя 2020 року</vt:lpstr>
      <vt:lpstr>І півріччя 2020 року НСЗУ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7</cp:revision>
  <cp:lastPrinted>2020-01-10T07:47:54Z</cp:lastPrinted>
  <dcterms:created xsi:type="dcterms:W3CDTF">2020-01-09T13:37:50Z</dcterms:created>
  <dcterms:modified xsi:type="dcterms:W3CDTF">2020-07-10T06:17:07Z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office 2007 rus ent: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