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86128DFC-A72F-4357-9A05-17C051A69B9B}" xr6:coauthVersionLast="37" xr6:coauthVersionMax="37" xr10:uidLastSave="{00000000-0000-0000-0000-000000000000}"/>
  <bookViews>
    <workbookView xWindow="2805" yWindow="0" windowWidth="25995" windowHeight="12810" xr2:uid="{320B900E-D8AC-4F94-BC32-2C56893ED6E8}"/>
  </bookViews>
  <sheets>
    <sheet name="12міс 2020" sheetId="1" r:id="rId1"/>
  </sheets>
  <externalReferences>
    <externalReference r:id="rId2"/>
  </externalReference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58" i="1" l="1"/>
  <c r="D58" i="1"/>
  <c r="E58" i="1" s="1"/>
  <c r="C58" i="1"/>
  <c r="D57" i="1"/>
  <c r="AD57" i="1" s="1"/>
  <c r="C57" i="1"/>
  <c r="D56" i="1"/>
  <c r="C56" i="1"/>
  <c r="AD56" i="1" s="1"/>
  <c r="AD55" i="1"/>
  <c r="D55" i="1"/>
  <c r="E55" i="1" s="1"/>
  <c r="C55" i="1"/>
  <c r="D54" i="1"/>
  <c r="AD54" i="1" s="1"/>
  <c r="C54" i="1"/>
  <c r="D53" i="1"/>
  <c r="C53" i="1"/>
  <c r="AD53" i="1" s="1"/>
  <c r="AD52" i="1"/>
  <c r="D52" i="1"/>
  <c r="E52" i="1" s="1"/>
  <c r="C52" i="1"/>
  <c r="D51" i="1"/>
  <c r="AD51" i="1" s="1"/>
  <c r="C51" i="1"/>
  <c r="D50" i="1"/>
  <c r="C50" i="1"/>
  <c r="AD50" i="1" s="1"/>
  <c r="AD49" i="1"/>
  <c r="D49" i="1"/>
  <c r="E49" i="1" s="1"/>
  <c r="C49" i="1"/>
  <c r="AC47" i="1"/>
  <c r="AB47" i="1"/>
  <c r="AB59" i="1" s="1"/>
  <c r="AA47" i="1"/>
  <c r="Z47" i="1"/>
  <c r="Y47" i="1"/>
  <c r="X47" i="1"/>
  <c r="W47" i="1"/>
  <c r="V47" i="1"/>
  <c r="V59" i="1" s="1"/>
  <c r="U47" i="1"/>
  <c r="T47" i="1"/>
  <c r="S47" i="1"/>
  <c r="R47" i="1"/>
  <c r="Q47" i="1"/>
  <c r="P47" i="1"/>
  <c r="P59" i="1" s="1"/>
  <c r="O47" i="1"/>
  <c r="N47" i="1"/>
  <c r="M47" i="1"/>
  <c r="L47" i="1"/>
  <c r="K47" i="1"/>
  <c r="K59" i="1" s="1"/>
  <c r="J47" i="1"/>
  <c r="J59" i="1" s="1"/>
  <c r="I47" i="1"/>
  <c r="H47" i="1"/>
  <c r="G47" i="1"/>
  <c r="F47" i="1"/>
  <c r="D47" i="1"/>
  <c r="D46" i="1"/>
  <c r="C46" i="1"/>
  <c r="AD46" i="1" s="1"/>
  <c r="AC45" i="1"/>
  <c r="AC43" i="1" s="1"/>
  <c r="AA45" i="1"/>
  <c r="Y45" i="1"/>
  <c r="W45" i="1"/>
  <c r="W43" i="1" s="1"/>
  <c r="U45" i="1"/>
  <c r="Q45" i="1"/>
  <c r="Q43" i="1" s="1"/>
  <c r="O45" i="1"/>
  <c r="O43" i="1" s="1"/>
  <c r="M45" i="1"/>
  <c r="K45" i="1"/>
  <c r="J45" i="1"/>
  <c r="C45" i="1"/>
  <c r="AB43" i="1"/>
  <c r="AA43" i="1"/>
  <c r="Z43" i="1"/>
  <c r="Y43" i="1"/>
  <c r="X43" i="1"/>
  <c r="V43" i="1"/>
  <c r="U43" i="1"/>
  <c r="T43" i="1"/>
  <c r="S43" i="1"/>
  <c r="R43" i="1"/>
  <c r="P43" i="1"/>
  <c r="N43" i="1"/>
  <c r="M43" i="1"/>
  <c r="L43" i="1"/>
  <c r="K43" i="1"/>
  <c r="J43" i="1"/>
  <c r="I43" i="1"/>
  <c r="H43" i="1"/>
  <c r="C43" i="1" s="1"/>
  <c r="G43" i="1"/>
  <c r="F43" i="1"/>
  <c r="AD42" i="1"/>
  <c r="E42" i="1"/>
  <c r="D42" i="1"/>
  <c r="C42" i="1"/>
  <c r="U41" i="1"/>
  <c r="D41" i="1"/>
  <c r="AD41" i="1" s="1"/>
  <c r="C41" i="1"/>
  <c r="D40" i="1"/>
  <c r="C40" i="1"/>
  <c r="AD40" i="1" s="1"/>
  <c r="AD39" i="1"/>
  <c r="D39" i="1"/>
  <c r="E39" i="1" s="1"/>
  <c r="C39" i="1"/>
  <c r="D38" i="1"/>
  <c r="AD38" i="1" s="1"/>
  <c r="C38" i="1"/>
  <c r="D37" i="1"/>
  <c r="C37" i="1"/>
  <c r="AD37" i="1" s="1"/>
  <c r="AD36" i="1"/>
  <c r="D36" i="1"/>
  <c r="E36" i="1" s="1"/>
  <c r="C36" i="1"/>
  <c r="D35" i="1"/>
  <c r="AD35" i="1" s="1"/>
  <c r="C35" i="1"/>
  <c r="D34" i="1"/>
  <c r="E34" i="1" s="1"/>
  <c r="C34" i="1"/>
  <c r="AD34" i="1" s="1"/>
  <c r="AD33" i="1"/>
  <c r="D33" i="1"/>
  <c r="C33" i="1"/>
  <c r="D32" i="1"/>
  <c r="E32" i="1" s="1"/>
  <c r="C32" i="1"/>
  <c r="AD32" i="1" s="1"/>
  <c r="D31" i="1"/>
  <c r="E31" i="1" s="1"/>
  <c r="C31" i="1"/>
  <c r="AD31" i="1" s="1"/>
  <c r="AD30" i="1"/>
  <c r="E30" i="1"/>
  <c r="D30" i="1"/>
  <c r="C30" i="1"/>
  <c r="D29" i="1"/>
  <c r="E29" i="1" s="1"/>
  <c r="C29" i="1"/>
  <c r="AD29" i="1" s="1"/>
  <c r="D28" i="1"/>
  <c r="E28" i="1" s="1"/>
  <c r="C28" i="1"/>
  <c r="AD28" i="1" s="1"/>
  <c r="AD27" i="1"/>
  <c r="E27" i="1"/>
  <c r="D27" i="1"/>
  <c r="C27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D25" i="1" s="1"/>
  <c r="H25" i="1"/>
  <c r="G25" i="1"/>
  <c r="F25" i="1"/>
  <c r="C25" i="1"/>
  <c r="O24" i="1"/>
  <c r="D24" i="1"/>
  <c r="E24" i="1" s="1"/>
  <c r="C24" i="1"/>
  <c r="AD24" i="1" s="1"/>
  <c r="AC23" i="1"/>
  <c r="AA23" i="1"/>
  <c r="Y23" i="1"/>
  <c r="Y20" i="1" s="1"/>
  <c r="W23" i="1"/>
  <c r="U23" i="1"/>
  <c r="S23" i="1"/>
  <c r="S20" i="1" s="1"/>
  <c r="M23" i="1"/>
  <c r="C23" i="1"/>
  <c r="AD22" i="1"/>
  <c r="E22" i="1"/>
  <c r="D22" i="1"/>
  <c r="C22" i="1"/>
  <c r="AC20" i="1"/>
  <c r="AB20" i="1"/>
  <c r="AA20" i="1"/>
  <c r="Z20" i="1"/>
  <c r="X20" i="1"/>
  <c r="X7" i="1" s="1"/>
  <c r="W20" i="1"/>
  <c r="V20" i="1"/>
  <c r="U20" i="1"/>
  <c r="U7" i="1" s="1"/>
  <c r="U59" i="1" s="1"/>
  <c r="T20" i="1"/>
  <c r="R20" i="1"/>
  <c r="R7" i="1" s="1"/>
  <c r="Q20" i="1"/>
  <c r="P20" i="1"/>
  <c r="O20" i="1"/>
  <c r="N20" i="1"/>
  <c r="M20" i="1"/>
  <c r="L20" i="1"/>
  <c r="L7" i="1" s="1"/>
  <c r="K20" i="1"/>
  <c r="J20" i="1"/>
  <c r="I20" i="1"/>
  <c r="D20" i="1" s="1"/>
  <c r="H20" i="1"/>
  <c r="G20" i="1"/>
  <c r="F20" i="1"/>
  <c r="F7" i="1" s="1"/>
  <c r="C20" i="1"/>
  <c r="D19" i="1"/>
  <c r="C19" i="1"/>
  <c r="AD19" i="1" s="1"/>
  <c r="D18" i="1"/>
  <c r="AD18" i="1" s="1"/>
  <c r="C18" i="1"/>
  <c r="W17" i="1"/>
  <c r="W11" i="1" s="1"/>
  <c r="Q17" i="1"/>
  <c r="I17" i="1"/>
  <c r="I11" i="1" s="1"/>
  <c r="I7" i="1" s="1"/>
  <c r="I59" i="1" s="1"/>
  <c r="C17" i="1"/>
  <c r="D16" i="1"/>
  <c r="E16" i="1" s="1"/>
  <c r="C16" i="1"/>
  <c r="AD16" i="1" s="1"/>
  <c r="D15" i="1"/>
  <c r="C15" i="1"/>
  <c r="AD15" i="1" s="1"/>
  <c r="AC14" i="1"/>
  <c r="AC11" i="1" s="1"/>
  <c r="AA14" i="1"/>
  <c r="AA11" i="1" s="1"/>
  <c r="Y14" i="1"/>
  <c r="W14" i="1"/>
  <c r="U14" i="1"/>
  <c r="S14" i="1"/>
  <c r="Q14" i="1"/>
  <c r="Q11" i="1" s="1"/>
  <c r="O14" i="1"/>
  <c r="O11" i="1" s="1"/>
  <c r="M14" i="1"/>
  <c r="K14" i="1"/>
  <c r="I14" i="1"/>
  <c r="C14" i="1"/>
  <c r="W13" i="1"/>
  <c r="J13" i="1"/>
  <c r="D13" i="1"/>
  <c r="AF4" i="1" s="1"/>
  <c r="C13" i="1"/>
  <c r="AD13" i="1" s="1"/>
  <c r="AB11" i="1"/>
  <c r="Z11" i="1"/>
  <c r="Y11" i="1"/>
  <c r="X11" i="1"/>
  <c r="V11" i="1"/>
  <c r="U11" i="1"/>
  <c r="T11" i="1"/>
  <c r="S11" i="1"/>
  <c r="R11" i="1"/>
  <c r="P11" i="1"/>
  <c r="N11" i="1"/>
  <c r="M11" i="1"/>
  <c r="L11" i="1"/>
  <c r="K11" i="1"/>
  <c r="J11" i="1"/>
  <c r="H11" i="1"/>
  <c r="C11" i="1" s="1"/>
  <c r="G11" i="1"/>
  <c r="D11" i="1" s="1"/>
  <c r="F11" i="1"/>
  <c r="AC10" i="1"/>
  <c r="AA10" i="1"/>
  <c r="Y10" i="1"/>
  <c r="W10" i="1"/>
  <c r="U10" i="1"/>
  <c r="S10" i="1"/>
  <c r="Q10" i="1"/>
  <c r="O10" i="1"/>
  <c r="M10" i="1"/>
  <c r="K10" i="1"/>
  <c r="J10" i="1"/>
  <c r="C10" i="1" s="1"/>
  <c r="AD10" i="1" s="1"/>
  <c r="D10" i="1"/>
  <c r="AC9" i="1"/>
  <c r="AA9" i="1"/>
  <c r="Y9" i="1"/>
  <c r="Y7" i="1" s="1"/>
  <c r="W9" i="1"/>
  <c r="U9" i="1"/>
  <c r="S9" i="1"/>
  <c r="Q9" i="1"/>
  <c r="O9" i="1"/>
  <c r="M9" i="1"/>
  <c r="D9" i="1" s="1"/>
  <c r="K9" i="1"/>
  <c r="J9" i="1"/>
  <c r="C9" i="1"/>
  <c r="AB7" i="1"/>
  <c r="Z7" i="1"/>
  <c r="Z59" i="1" s="1"/>
  <c r="V7" i="1"/>
  <c r="T7" i="1"/>
  <c r="T59" i="1" s="1"/>
  <c r="P7" i="1"/>
  <c r="N7" i="1"/>
  <c r="N59" i="1" s="1"/>
  <c r="K7" i="1"/>
  <c r="J7" i="1"/>
  <c r="H7" i="1"/>
  <c r="H59" i="1" s="1"/>
  <c r="E11" i="1" l="1"/>
  <c r="AD11" i="1"/>
  <c r="O7" i="1"/>
  <c r="O59" i="1" s="1"/>
  <c r="E20" i="1"/>
  <c r="AF7" i="1"/>
  <c r="D43" i="1"/>
  <c r="E43" i="1" s="1"/>
  <c r="E9" i="1"/>
  <c r="AF3" i="1"/>
  <c r="AD43" i="1"/>
  <c r="AD45" i="1"/>
  <c r="AA7" i="1"/>
  <c r="AA59" i="1" s="1"/>
  <c r="AD20" i="1"/>
  <c r="E25" i="1"/>
  <c r="AF8" i="1"/>
  <c r="Q59" i="1"/>
  <c r="AC59" i="1"/>
  <c r="Q7" i="1"/>
  <c r="AC7" i="1"/>
  <c r="W7" i="1"/>
  <c r="W59" i="1" s="1"/>
  <c r="C7" i="1"/>
  <c r="F59" i="1"/>
  <c r="L59" i="1"/>
  <c r="R59" i="1"/>
  <c r="X59" i="1"/>
  <c r="AD9" i="1"/>
  <c r="S7" i="1"/>
  <c r="S59" i="1" s="1"/>
  <c r="E10" i="1"/>
  <c r="AD25" i="1"/>
  <c r="M59" i="1"/>
  <c r="Y59" i="1"/>
  <c r="AF5" i="1"/>
  <c r="AF6" i="1" s="1"/>
  <c r="G7" i="1"/>
  <c r="G59" i="1" s="1"/>
  <c r="D59" i="1" s="1"/>
  <c r="M7" i="1"/>
  <c r="D17" i="1"/>
  <c r="E17" i="1" s="1"/>
  <c r="C47" i="1"/>
  <c r="AD47" i="1" s="1"/>
  <c r="E18" i="1"/>
  <c r="E35" i="1"/>
  <c r="E38" i="1"/>
  <c r="E41" i="1"/>
  <c r="D45" i="1"/>
  <c r="E51" i="1"/>
  <c r="E54" i="1"/>
  <c r="E57" i="1"/>
  <c r="D14" i="1"/>
  <c r="E14" i="1" s="1"/>
  <c r="E13" i="1"/>
  <c r="E40" i="1"/>
  <c r="E50" i="1"/>
  <c r="E53" i="1"/>
  <c r="E56" i="1"/>
  <c r="D23" i="1"/>
  <c r="E37" i="1"/>
  <c r="E47" i="1" l="1"/>
  <c r="AF9" i="1"/>
  <c r="E45" i="1"/>
  <c r="AD17" i="1"/>
  <c r="E23" i="1"/>
  <c r="AD23" i="1"/>
  <c r="D7" i="1"/>
  <c r="E7" i="1" s="1"/>
  <c r="C59" i="1"/>
  <c r="E59" i="1" s="1"/>
  <c r="AD14" i="1"/>
  <c r="AD7" i="1" l="1"/>
  <c r="AD59" i="1" s="1"/>
</calcChain>
</file>

<file path=xl/sharedStrings.xml><?xml version="1.0" encoding="utf-8"?>
<sst xmlns="http://schemas.openxmlformats.org/spreadsheetml/2006/main" count="140" uniqueCount="112">
  <si>
    <t>Звіт про використання бюджетних коштів за 12 місяців 2020 року</t>
  </si>
  <si>
    <r>
      <t xml:space="preserve">Структура використання бюджетних коштів за </t>
    </r>
    <r>
      <rPr>
        <b/>
        <sz val="16"/>
        <color rgb="FFFF0000"/>
        <rFont val="Times New Roman"/>
        <family val="1"/>
        <charset val="204"/>
      </rPr>
      <t xml:space="preserve"> І півріччя 2020 рік</t>
    </r>
  </si>
  <si>
    <t>КП "Затишне місто"</t>
  </si>
  <si>
    <t>БЮДЖЕТ ЗА 2020 рік</t>
  </si>
  <si>
    <t>Оплата праці</t>
  </si>
  <si>
    <t>№ з/п</t>
  </si>
  <si>
    <t>Назва видатків, об'єктів</t>
  </si>
  <si>
    <t xml:space="preserve">Разом </t>
  </si>
  <si>
    <t>січень-грудень 2020 року</t>
  </si>
  <si>
    <t>залишок (тис.грн.)</t>
  </si>
  <si>
    <t>ПММ</t>
  </si>
  <si>
    <t>Матеріали та запчастини АТД</t>
  </si>
  <si>
    <t>план</t>
  </si>
  <si>
    <t>виконано</t>
  </si>
  <si>
    <t>% виконання</t>
  </si>
  <si>
    <t>Матеріали ЦБ</t>
  </si>
  <si>
    <t>Видатки (благоустрій)-всього (тис.грн.):</t>
  </si>
  <si>
    <t>Комунальні послуги</t>
  </si>
  <si>
    <t>в тому числі</t>
  </si>
  <si>
    <t>Інші послуги</t>
  </si>
  <si>
    <t>1.1</t>
  </si>
  <si>
    <t>Заробітна плата</t>
  </si>
  <si>
    <t>Податки</t>
  </si>
  <si>
    <t>1.2</t>
  </si>
  <si>
    <t>Нарахування на заробітну плату</t>
  </si>
  <si>
    <t>1.3</t>
  </si>
  <si>
    <t>Матеріали-всього</t>
  </si>
  <si>
    <t>з них</t>
  </si>
  <si>
    <t>1.3.1</t>
  </si>
  <si>
    <t>паливо-мастильні матеріали</t>
  </si>
  <si>
    <t>1.3.2</t>
  </si>
  <si>
    <t>будівельні матеріали</t>
  </si>
  <si>
    <t>1.3.3</t>
  </si>
  <si>
    <t xml:space="preserve">господарчі товари </t>
  </si>
  <si>
    <t>1.3.4</t>
  </si>
  <si>
    <t>запчастини та матеріали</t>
  </si>
  <si>
    <t>1.3.5</t>
  </si>
  <si>
    <t>посипочний матеріал</t>
  </si>
  <si>
    <t>1.3.6</t>
  </si>
  <si>
    <t>саджанці</t>
  </si>
  <si>
    <t>1.3.7</t>
  </si>
  <si>
    <t xml:space="preserve">інші </t>
  </si>
  <si>
    <t>1.4</t>
  </si>
  <si>
    <t>Оплата комунальних послуг-всього</t>
  </si>
  <si>
    <t>1.4.1</t>
  </si>
  <si>
    <t>теплопостачання</t>
  </si>
  <si>
    <t>1.4.2</t>
  </si>
  <si>
    <t>електроенергія</t>
  </si>
  <si>
    <t>1.4.3</t>
  </si>
  <si>
    <t>водопостачання</t>
  </si>
  <si>
    <t>1.5</t>
  </si>
  <si>
    <t>Оплата послуг (крім комунальних)-всього</t>
  </si>
  <si>
    <t>1.5.1</t>
  </si>
  <si>
    <t>автопослуги</t>
  </si>
  <si>
    <t>1.5.2</t>
  </si>
  <si>
    <t>оренда приміщень</t>
  </si>
  <si>
    <t>1.5.3</t>
  </si>
  <si>
    <t>тех обслуговування транспорту</t>
  </si>
  <si>
    <t>1.5.4</t>
  </si>
  <si>
    <t>обслуговування комп'ютерної техніки</t>
  </si>
  <si>
    <t>1.5.5</t>
  </si>
  <si>
    <t>відшкодування послуг (утримання будинків)</t>
  </si>
  <si>
    <t>1.5.6</t>
  </si>
  <si>
    <t>навчання з охорони праці</t>
  </si>
  <si>
    <t>1.5.7</t>
  </si>
  <si>
    <t>послуги з зимового утримання доріг</t>
  </si>
  <si>
    <t>1.5.8</t>
  </si>
  <si>
    <t>послуги з обслуговування пляжу</t>
  </si>
  <si>
    <t>1.5.9</t>
  </si>
  <si>
    <t>послуги з охорони новорічної ялинки</t>
  </si>
  <si>
    <t>1.5.10</t>
  </si>
  <si>
    <t>послуги з мед огляду працівників</t>
  </si>
  <si>
    <t>1.5.11</t>
  </si>
  <si>
    <t>послуги з утримання газонів</t>
  </si>
  <si>
    <t>1.5.12</t>
  </si>
  <si>
    <t>послуги з ремонту та тех обсл трансформаторів</t>
  </si>
  <si>
    <t>1.5.13</t>
  </si>
  <si>
    <t>обов'язковий технічний контроль ТЗ</t>
  </si>
  <si>
    <t>1.5.14</t>
  </si>
  <si>
    <t>страхування транспорту</t>
  </si>
  <si>
    <t>1.5.15</t>
  </si>
  <si>
    <t>інші послуги</t>
  </si>
  <si>
    <t>1.5.16</t>
  </si>
  <si>
    <t>послуги з встановлення газового обладнання</t>
  </si>
  <si>
    <t>1.6</t>
  </si>
  <si>
    <t>Інші видатки-всього</t>
  </si>
  <si>
    <t>1.6.1</t>
  </si>
  <si>
    <t>податки</t>
  </si>
  <si>
    <t>1.6.2</t>
  </si>
  <si>
    <t>інші (утримання  притулку для безпритульних тварин)</t>
  </si>
  <si>
    <t>2</t>
  </si>
  <si>
    <t>Придбання основних засобів-всього:</t>
  </si>
  <si>
    <t>2.1</t>
  </si>
  <si>
    <t>Придбання саджанців дерев</t>
  </si>
  <si>
    <t>2.2</t>
  </si>
  <si>
    <t>Придбання саджанців кущів</t>
  </si>
  <si>
    <t>2.3</t>
  </si>
  <si>
    <t>Придбання віброплити</t>
  </si>
  <si>
    <t>2.4</t>
  </si>
  <si>
    <t>Придбання газонокосарок</t>
  </si>
  <si>
    <t>2.5</t>
  </si>
  <si>
    <t>Придбання тримерів</t>
  </si>
  <si>
    <t>2.6</t>
  </si>
  <si>
    <t>2.7</t>
  </si>
  <si>
    <t>2.8</t>
  </si>
  <si>
    <t>2.9</t>
  </si>
  <si>
    <t>2.10</t>
  </si>
  <si>
    <t>ВСЬОГО (тис.грн.):</t>
  </si>
  <si>
    <t>Директор КП "Затишне місто"</t>
  </si>
  <si>
    <t>В.В. Коріневський</t>
  </si>
  <si>
    <t>Головний економіст</t>
  </si>
  <si>
    <t>А.М. Мкртчян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</si>
</sst>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_ ;[Red]\-0.0\ "/>
  </numFmts>
  <fonts count="12" x14ac:knownFonts="1"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sz val="14"/>
      <name val="Arial Cyr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/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0" fillId="0" borderId="0" xfId="0" applyNumberFormat="1" applyFont="1"/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 shrinkToFit="1"/>
    </xf>
    <xf numFmtId="0" fontId="0" fillId="0" borderId="0" xfId="0" applyFont="1" applyFill="1" applyBorder="1"/>
    <xf numFmtId="49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justify" vertical="center"/>
    </xf>
    <xf numFmtId="164" fontId="6" fillId="2" borderId="2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center"/>
    </xf>
    <xf numFmtId="164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65" fontId="4" fillId="0" borderId="2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center"/>
    </xf>
    <xf numFmtId="164" fontId="0" fillId="0" borderId="0" xfId="0" applyNumberFormat="1" applyFont="1" applyFill="1"/>
    <xf numFmtId="0" fontId="0" fillId="0" borderId="0" xfId="0" applyFont="1" applyFill="1"/>
    <xf numFmtId="0" fontId="7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4" fillId="0" borderId="2" xfId="0" applyFont="1" applyFill="1" applyBorder="1"/>
    <xf numFmtId="0" fontId="10" fillId="0" borderId="0" xfId="0" applyFont="1" applyFill="1"/>
    <xf numFmtId="164" fontId="7" fillId="0" borderId="2" xfId="0" applyNumberFormat="1" applyFont="1" applyFill="1" applyBorder="1" applyAlignment="1">
      <alignment vertical="center"/>
    </xf>
    <xf numFmtId="0" fontId="10" fillId="0" borderId="0" xfId="0" applyFont="1"/>
    <xf numFmtId="0" fontId="4" fillId="0" borderId="2" xfId="0" applyFont="1" applyFill="1" applyBorder="1" applyAlignment="1">
      <alignment wrapText="1" shrinkToFit="1"/>
    </xf>
    <xf numFmtId="0" fontId="7" fillId="3" borderId="2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49" fontId="4" fillId="0" borderId="0" xfId="0" applyNumberFormat="1" applyFont="1" applyFill="1"/>
    <xf numFmtId="0" fontId="11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 applyBorder="1"/>
    <xf numFmtId="49" fontId="0" fillId="0" borderId="0" xfId="0" applyNumberFormat="1" applyFont="1"/>
    <xf numFmtId="9" fontId="0" fillId="0" borderId="0" xfId="0" applyNumberFormat="1" applyFont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257909378094209E-3"/>
          <c:y val="7.693652065946846E-2"/>
          <c:w val="0.9738808071261118"/>
          <c:h val="0.78851775355582343"/>
        </c:manualLayout>
      </c:layout>
      <c:pieChart>
        <c:varyColors val="1"/>
        <c:ser>
          <c:idx val="0"/>
          <c:order val="0"/>
          <c:explosion val="23"/>
          <c:dPt>
            <c:idx val="0"/>
            <c:bubble3D val="0"/>
            <c:explosion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F0B-409F-BF28-58317A3A01EA}"/>
              </c:ext>
            </c:extLst>
          </c:dPt>
          <c:dPt>
            <c:idx val="1"/>
            <c:bubble3D val="0"/>
            <c:explosion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F0B-409F-BF28-58317A3A01EA}"/>
              </c:ext>
            </c:extLst>
          </c:dPt>
          <c:dPt>
            <c:idx val="2"/>
            <c:bubble3D val="0"/>
            <c:explosion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F0B-409F-BF28-58317A3A01EA}"/>
              </c:ext>
            </c:extLst>
          </c:dPt>
          <c:dPt>
            <c:idx val="3"/>
            <c:bubble3D val="0"/>
            <c:explosion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F0B-409F-BF28-58317A3A01EA}"/>
              </c:ext>
            </c:extLst>
          </c:dPt>
          <c:dPt>
            <c:idx val="4"/>
            <c:bubble3D val="0"/>
            <c:explosion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F0B-409F-BF28-58317A3A01EA}"/>
              </c:ext>
            </c:extLst>
          </c:dPt>
          <c:dPt>
            <c:idx val="5"/>
            <c:bubble3D val="0"/>
            <c:explosion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F0B-409F-BF28-58317A3A01EA}"/>
              </c:ext>
            </c:extLst>
          </c:dPt>
          <c:dPt>
            <c:idx val="6"/>
            <c:bubble3D val="0"/>
            <c:explosion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F0B-409F-BF28-58317A3A01EA}"/>
              </c:ext>
            </c:extLst>
          </c:dPt>
          <c:dLbls>
            <c:dLbl>
              <c:idx val="0"/>
              <c:layout>
                <c:manualLayout>
                  <c:x val="-0.19297320864931333"/>
                  <c:y val="5.4372907752055413E-3"/>
                </c:manualLayout>
              </c:layout>
              <c:spPr>
                <a:solidFill>
                  <a:schemeClr val="bg1">
                    <a:lumMod val="85000"/>
                  </a:schemeClr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0B-409F-BF28-58317A3A01EA}"/>
                </c:ext>
              </c:extLst>
            </c:dLbl>
            <c:dLbl>
              <c:idx val="1"/>
              <c:layout>
                <c:manualLayout>
                  <c:x val="0.10219072833930327"/>
                  <c:y val="-0.15677277924370403"/>
                </c:manualLayout>
              </c:layout>
              <c:spPr>
                <a:solidFill>
                  <a:schemeClr val="bg1">
                    <a:lumMod val="85000"/>
                  </a:schemeClr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0B-409F-BF28-58317A3A01EA}"/>
                </c:ext>
              </c:extLst>
            </c:dLbl>
            <c:dLbl>
              <c:idx val="2"/>
              <c:layout>
                <c:manualLayout>
                  <c:x val="3.7417951498577635E-2"/>
                  <c:y val="0.14338477151433915"/>
                </c:manualLayout>
              </c:layout>
              <c:spPr>
                <a:solidFill>
                  <a:schemeClr val="bg1">
                    <a:lumMod val="85000"/>
                  </a:schemeClr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0B-409F-BF28-58317A3A01EA}"/>
                </c:ext>
              </c:extLst>
            </c:dLbl>
            <c:dLbl>
              <c:idx val="3"/>
              <c:layout>
                <c:manualLayout>
                  <c:x val="0.16390098543071338"/>
                  <c:y val="1.5373527410869964E-2"/>
                </c:manualLayout>
              </c:layout>
              <c:spPr>
                <a:solidFill>
                  <a:schemeClr val="bg1">
                    <a:lumMod val="85000"/>
                  </a:schemeClr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F0B-409F-BF28-58317A3A01EA}"/>
                </c:ext>
              </c:extLst>
            </c:dLbl>
            <c:dLbl>
              <c:idx val="4"/>
              <c:layout>
                <c:manualLayout>
                  <c:x val="1.865321325852233E-2"/>
                  <c:y val="-8.5486260325243771E-2"/>
                </c:manualLayout>
              </c:layout>
              <c:spPr>
                <a:solidFill>
                  <a:schemeClr val="bg1">
                    <a:lumMod val="85000"/>
                  </a:schemeClr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F0B-409F-BF28-58317A3A01EA}"/>
                </c:ext>
              </c:extLst>
            </c:dLbl>
            <c:dLbl>
              <c:idx val="5"/>
              <c:layout>
                <c:manualLayout>
                  <c:x val="0.10747286529303597"/>
                  <c:y val="-8.5209019531241229E-2"/>
                </c:manualLayout>
              </c:layout>
              <c:spPr>
                <a:solidFill>
                  <a:schemeClr val="bg1">
                    <a:lumMod val="85000"/>
                  </a:schemeClr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F0B-409F-BF28-58317A3A01EA}"/>
                </c:ext>
              </c:extLst>
            </c:dLbl>
            <c:dLbl>
              <c:idx val="6"/>
              <c:layout>
                <c:manualLayout>
                  <c:x val="5.8246729332945495E-2"/>
                  <c:y val="0.11169441644625991"/>
                </c:manualLayout>
              </c:layout>
              <c:spPr>
                <a:solidFill>
                  <a:schemeClr val="bg1">
                    <a:lumMod val="85000"/>
                  </a:schemeClr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F0B-409F-BF28-58317A3A01EA}"/>
                </c:ext>
              </c:extLst>
            </c:dLbl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ru-UA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'12міс 2020'!$AE$3:$AE$9</c:f>
              <c:strCache>
                <c:ptCount val="7"/>
                <c:pt idx="0">
                  <c:v>Оплата праці</c:v>
                </c:pt>
                <c:pt idx="1">
                  <c:v>ПММ</c:v>
                </c:pt>
                <c:pt idx="2">
                  <c:v>Матеріали та запчастини АТД</c:v>
                </c:pt>
                <c:pt idx="3">
                  <c:v>Матеріали ЦБ</c:v>
                </c:pt>
                <c:pt idx="4">
                  <c:v>Комунальні послуги</c:v>
                </c:pt>
                <c:pt idx="5">
                  <c:v>Інші послуги</c:v>
                </c:pt>
                <c:pt idx="6">
                  <c:v>Податки</c:v>
                </c:pt>
              </c:strCache>
            </c:strRef>
          </c:cat>
          <c:val>
            <c:numRef>
              <c:f>'12міс 2020'!$AF$3:$AF$9</c:f>
              <c:numCache>
                <c:formatCode>0.0</c:formatCode>
                <c:ptCount val="7"/>
                <c:pt idx="0">
                  <c:v>23768.6</c:v>
                </c:pt>
                <c:pt idx="1">
                  <c:v>7220.4000000000005</c:v>
                </c:pt>
                <c:pt idx="2">
                  <c:v>1012.9</c:v>
                </c:pt>
                <c:pt idx="3">
                  <c:v>5781.2999999999993</c:v>
                </c:pt>
                <c:pt idx="4">
                  <c:v>806.00000000000011</c:v>
                </c:pt>
                <c:pt idx="5">
                  <c:v>1042</c:v>
                </c:pt>
                <c:pt idx="6">
                  <c:v>4715.2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F0B-409F-BF28-58317A3A0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UA"/>
    </a:p>
  </c:txPr>
  <c:printSettings>
    <c:headerFooter/>
    <c:pageMargins b="0.75" l="0.7" r="0.7" t="0.75" header="0.3" footer="0.3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38098</xdr:colOff>
      <xdr:row>0</xdr:row>
      <xdr:rowOff>78581</xdr:rowOff>
    </xdr:from>
    <xdr:to>
      <xdr:col>42</xdr:col>
      <xdr:colOff>38098</xdr:colOff>
      <xdr:row>46</xdr:row>
      <xdr:rowOff>202406</xdr:rowOff>
    </xdr:to>
    <xdr:graphicFrame macro="">
      <xdr:nvGraphicFramePr>
        <xdr:cNvPr id="2" name="Диаграмма 2">
          <a:extLst>
            <a:ext uri="{FF2B5EF4-FFF2-40B4-BE49-F238E27FC236}">
              <a16:creationId xmlns:a16="http://schemas.microsoft.com/office/drawing/2014/main" id="{E932DBDA-5D88-4FF4-9461-5EE882DE8A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7;&#1072;&#1090;&#1080;&#1096;&#1085;&#1077;%20&#1084;&#1110;&#1089;&#1090;&#1086;\2020\&#1047;&#1042;&#1030;&#1058;%20&#1073;&#1102;&#1076;&#1078;&#1077;&#1090;%20&#1079;&#1072;%202020&#1088;&#111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м"/>
      <sheetName val="8 мес"/>
      <sheetName val="9 мес + гистогр"/>
      <sheetName val="1 квартал 17"/>
      <sheetName val="4 міс 17"/>
      <sheetName val="5 міс 17"/>
      <sheetName val="6 міс 17"/>
      <sheetName val="7 міс 17"/>
      <sheetName val="9 міс 17"/>
      <sheetName val="12 міс 17"/>
      <sheetName val="1кв 2018"/>
      <sheetName val="6 міс 2018"/>
      <sheetName val="9 міс 2018"/>
      <sheetName val="за рік 2018"/>
      <sheetName val="І кв 2019"/>
      <sheetName val="6 міс 2019"/>
      <sheetName val="9 міс 2019"/>
      <sheetName val="за рік 2019"/>
      <sheetName val="1кв 2020"/>
      <sheetName val="6міс 2020"/>
      <sheetName val="8міс 2020"/>
      <sheetName val="9міс 2020"/>
      <sheetName val="12міс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AE3" t="str">
            <v>Оплата праці</v>
          </cell>
          <cell r="AF3">
            <v>23768.6</v>
          </cell>
        </row>
        <row r="4">
          <cell r="AE4" t="str">
            <v>ПММ</v>
          </cell>
          <cell r="AF4">
            <v>7220.4000000000005</v>
          </cell>
        </row>
        <row r="5">
          <cell r="AE5" t="str">
            <v>Матеріали та запчастини АТД</v>
          </cell>
          <cell r="AF5">
            <v>1012.9</v>
          </cell>
        </row>
        <row r="6">
          <cell r="AE6" t="str">
            <v>Матеріали ЦБ</v>
          </cell>
          <cell r="AF6">
            <v>5781.2999999999993</v>
          </cell>
        </row>
        <row r="7">
          <cell r="AE7" t="str">
            <v>Комунальні послуги</v>
          </cell>
          <cell r="AF7">
            <v>806.00000000000011</v>
          </cell>
        </row>
        <row r="8">
          <cell r="AE8" t="str">
            <v>Інші послуги</v>
          </cell>
          <cell r="AF8">
            <v>1042</v>
          </cell>
        </row>
        <row r="9">
          <cell r="AE9" t="str">
            <v>Податки</v>
          </cell>
          <cell r="AF9">
            <v>4715.2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21CDA-53E3-41E2-9857-DADA5F16F2B7}">
  <sheetPr>
    <pageSetUpPr fitToPage="1"/>
  </sheetPr>
  <dimension ref="A1:BH64"/>
  <sheetViews>
    <sheetView tabSelected="1" showWhiteSpace="0" topLeftCell="A28" zoomScale="76" zoomScaleNormal="76" zoomScalePageLayoutView="80" workbookViewId="0">
      <selection activeCell="H20" sqref="H20"/>
    </sheetView>
  </sheetViews>
  <sheetFormatPr defaultRowHeight="18.75" x14ac:dyDescent="0.3"/>
  <cols>
    <col min="1" max="1" width="8.85546875" style="42" customWidth="1"/>
    <col min="2" max="2" width="55.85546875" style="3" customWidth="1"/>
    <col min="3" max="3" width="11.85546875" style="3" customWidth="1"/>
    <col min="4" max="4" width="13.85546875" style="3" customWidth="1"/>
    <col min="5" max="5" width="12.28515625" style="3" customWidth="1"/>
    <col min="6" max="6" width="9.28515625" style="3" customWidth="1"/>
    <col min="7" max="7" width="9.85546875" style="3" customWidth="1"/>
    <col min="8" max="8" width="9.140625" style="3" customWidth="1"/>
    <col min="9" max="9" width="10.28515625" style="3" customWidth="1"/>
    <col min="10" max="10" width="9.140625" style="3" customWidth="1"/>
    <col min="11" max="11" width="10.28515625" style="3" customWidth="1"/>
    <col min="12" max="12" width="9.140625" style="3" customWidth="1"/>
    <col min="13" max="13" width="10.28515625" style="3" customWidth="1"/>
    <col min="14" max="14" width="9.140625" style="3" customWidth="1"/>
    <col min="15" max="15" width="10.28515625" style="3" customWidth="1"/>
    <col min="16" max="16" width="9.140625" style="3" customWidth="1"/>
    <col min="17" max="17" width="9.7109375" style="3" customWidth="1"/>
    <col min="18" max="18" width="9.140625" style="3" customWidth="1"/>
    <col min="19" max="19" width="10.28515625" style="3" customWidth="1"/>
    <col min="20" max="20" width="9.140625" style="3" customWidth="1"/>
    <col min="21" max="21" width="10.28515625" style="3" customWidth="1"/>
    <col min="22" max="22" width="9.28515625" style="3" customWidth="1"/>
    <col min="23" max="23" width="10.28515625" style="3" customWidth="1"/>
    <col min="24" max="24" width="9.140625" style="3" customWidth="1"/>
    <col min="25" max="25" width="10.28515625" style="3" customWidth="1"/>
    <col min="26" max="26" width="9.140625" style="3" customWidth="1"/>
    <col min="27" max="27" width="10.28515625" style="3" customWidth="1"/>
    <col min="28" max="28" width="9.140625" style="3" customWidth="1"/>
    <col min="29" max="29" width="10.28515625" style="3" customWidth="1"/>
    <col min="30" max="30" width="11.85546875" style="44" customWidth="1"/>
    <col min="31" max="31" width="19.140625" style="3" customWidth="1"/>
    <col min="32" max="16384" width="9.140625" style="3"/>
  </cols>
  <sheetData>
    <row r="1" spans="1:60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8.75" customHeight="1" x14ac:dyDescent="0.35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60" ht="18" customHeight="1" x14ac:dyDescent="0.3">
      <c r="A3" s="5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3" t="s">
        <v>4</v>
      </c>
      <c r="AF3" s="6">
        <f>SUM(D9:D10)</f>
        <v>23768.6</v>
      </c>
    </row>
    <row r="4" spans="1:60" ht="17.25" customHeight="1" x14ac:dyDescent="0.2">
      <c r="A4" s="7" t="s">
        <v>5</v>
      </c>
      <c r="B4" s="8" t="s">
        <v>6</v>
      </c>
      <c r="C4" s="9" t="s">
        <v>7</v>
      </c>
      <c r="D4" s="9"/>
      <c r="E4" s="9"/>
      <c r="F4" s="9" t="s">
        <v>8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10" t="s">
        <v>9</v>
      </c>
      <c r="AE4" s="3" t="s">
        <v>10</v>
      </c>
      <c r="AF4" s="6">
        <f>D13</f>
        <v>7220.4000000000005</v>
      </c>
    </row>
    <row r="5" spans="1:60" ht="18.75" customHeight="1" x14ac:dyDescent="0.2">
      <c r="A5" s="7"/>
      <c r="B5" s="8"/>
      <c r="C5" s="9"/>
      <c r="D5" s="9"/>
      <c r="E5" s="9"/>
      <c r="F5" s="9">
        <v>1</v>
      </c>
      <c r="G5" s="9"/>
      <c r="H5" s="9">
        <v>2</v>
      </c>
      <c r="I5" s="9"/>
      <c r="J5" s="9">
        <v>3</v>
      </c>
      <c r="K5" s="9"/>
      <c r="L5" s="9">
        <v>4</v>
      </c>
      <c r="M5" s="9"/>
      <c r="N5" s="9">
        <v>5</v>
      </c>
      <c r="O5" s="9"/>
      <c r="P5" s="9">
        <v>6</v>
      </c>
      <c r="Q5" s="9"/>
      <c r="R5" s="9">
        <v>7</v>
      </c>
      <c r="S5" s="9"/>
      <c r="T5" s="9">
        <v>8</v>
      </c>
      <c r="U5" s="9"/>
      <c r="V5" s="9">
        <v>9</v>
      </c>
      <c r="W5" s="9"/>
      <c r="X5" s="9">
        <v>10</v>
      </c>
      <c r="Y5" s="9"/>
      <c r="Z5" s="9">
        <v>11</v>
      </c>
      <c r="AA5" s="9"/>
      <c r="AB5" s="9">
        <v>12</v>
      </c>
      <c r="AC5" s="9"/>
      <c r="AD5" s="10"/>
      <c r="AE5" s="3" t="s">
        <v>11</v>
      </c>
      <c r="AF5" s="6">
        <f>D16</f>
        <v>1012.9</v>
      </c>
    </row>
    <row r="6" spans="1:60" ht="32.25" customHeight="1" x14ac:dyDescent="0.2">
      <c r="A6" s="7"/>
      <c r="B6" s="8"/>
      <c r="C6" s="11" t="s">
        <v>12</v>
      </c>
      <c r="D6" s="11" t="s">
        <v>13</v>
      </c>
      <c r="E6" s="12" t="s">
        <v>14</v>
      </c>
      <c r="F6" s="11" t="s">
        <v>12</v>
      </c>
      <c r="G6" s="11" t="s">
        <v>13</v>
      </c>
      <c r="H6" s="11" t="s">
        <v>12</v>
      </c>
      <c r="I6" s="11" t="s">
        <v>13</v>
      </c>
      <c r="J6" s="11" t="s">
        <v>12</v>
      </c>
      <c r="K6" s="11" t="s">
        <v>13</v>
      </c>
      <c r="L6" s="11" t="s">
        <v>12</v>
      </c>
      <c r="M6" s="11" t="s">
        <v>13</v>
      </c>
      <c r="N6" s="11" t="s">
        <v>12</v>
      </c>
      <c r="O6" s="11" t="s">
        <v>13</v>
      </c>
      <c r="P6" s="11" t="s">
        <v>12</v>
      </c>
      <c r="Q6" s="11" t="s">
        <v>13</v>
      </c>
      <c r="R6" s="11" t="s">
        <v>12</v>
      </c>
      <c r="S6" s="11" t="s">
        <v>13</v>
      </c>
      <c r="T6" s="11" t="s">
        <v>12</v>
      </c>
      <c r="U6" s="11" t="s">
        <v>13</v>
      </c>
      <c r="V6" s="11" t="s">
        <v>12</v>
      </c>
      <c r="W6" s="11" t="s">
        <v>13</v>
      </c>
      <c r="X6" s="11" t="s">
        <v>12</v>
      </c>
      <c r="Y6" s="11" t="s">
        <v>13</v>
      </c>
      <c r="Z6" s="11" t="s">
        <v>12</v>
      </c>
      <c r="AA6" s="11" t="s">
        <v>13</v>
      </c>
      <c r="AB6" s="11" t="s">
        <v>12</v>
      </c>
      <c r="AC6" s="11" t="s">
        <v>13</v>
      </c>
      <c r="AD6" s="10"/>
      <c r="AE6" s="13" t="s">
        <v>15</v>
      </c>
      <c r="AF6" s="6">
        <f>D11-AF4-AF5+D47</f>
        <v>5781.2999999999993</v>
      </c>
    </row>
    <row r="7" spans="1:60" x14ac:dyDescent="0.2">
      <c r="A7" s="14">
        <v>1</v>
      </c>
      <c r="B7" s="15" t="s">
        <v>16</v>
      </c>
      <c r="C7" s="16">
        <f>F7+H7+J7+L7+N7+P7+R7+T7+V7+X7+Z7+AB7</f>
        <v>44190.5</v>
      </c>
      <c r="D7" s="16">
        <f>G7+I7+K7+M7+O7+Q7+S7+U7+W7+Y7+AA7+AC7</f>
        <v>44013.7</v>
      </c>
      <c r="E7" s="16">
        <f>D7/C7%</f>
        <v>99.599914008667014</v>
      </c>
      <c r="F7" s="16">
        <f t="shared" ref="F7:AC7" si="0">F9+F10+F11+F20+F25+F43</f>
        <v>3968.7000000000003</v>
      </c>
      <c r="G7" s="17">
        <f t="shared" si="0"/>
        <v>1735.4999999999998</v>
      </c>
      <c r="H7" s="16">
        <f t="shared" si="0"/>
        <v>2633</v>
      </c>
      <c r="I7" s="17">
        <f t="shared" si="0"/>
        <v>4276.7</v>
      </c>
      <c r="J7" s="16">
        <f t="shared" si="0"/>
        <v>3579.8</v>
      </c>
      <c r="K7" s="17">
        <f t="shared" si="0"/>
        <v>2859.0999999999995</v>
      </c>
      <c r="L7" s="16">
        <f>L9+L10+L11+L20+L25+L43</f>
        <v>4601.8000000000011</v>
      </c>
      <c r="M7" s="16">
        <f t="shared" si="0"/>
        <v>4090.7000000000003</v>
      </c>
      <c r="N7" s="16">
        <f t="shared" si="0"/>
        <v>3913.7000000000003</v>
      </c>
      <c r="O7" s="17">
        <f t="shared" si="0"/>
        <v>2854.2999999999997</v>
      </c>
      <c r="P7" s="16">
        <f t="shared" si="0"/>
        <v>3322.6</v>
      </c>
      <c r="Q7" s="17">
        <f t="shared" si="0"/>
        <v>3354.6</v>
      </c>
      <c r="R7" s="16">
        <f t="shared" si="0"/>
        <v>3988.1</v>
      </c>
      <c r="S7" s="17">
        <f t="shared" si="0"/>
        <v>3688</v>
      </c>
      <c r="T7" s="16">
        <f t="shared" si="0"/>
        <v>3530.2000000000003</v>
      </c>
      <c r="U7" s="17">
        <f t="shared" si="0"/>
        <v>3745.8</v>
      </c>
      <c r="V7" s="16">
        <f t="shared" si="0"/>
        <v>4019.7000000000003</v>
      </c>
      <c r="W7" s="16">
        <f t="shared" si="0"/>
        <v>3312.9000000000005</v>
      </c>
      <c r="X7" s="16">
        <f t="shared" si="0"/>
        <v>3427.8999999999996</v>
      </c>
      <c r="Y7" s="17">
        <f t="shared" si="0"/>
        <v>4259.7</v>
      </c>
      <c r="Z7" s="16">
        <f t="shared" si="0"/>
        <v>3619.5</v>
      </c>
      <c r="AA7" s="17">
        <f t="shared" si="0"/>
        <v>4433.6000000000004</v>
      </c>
      <c r="AB7" s="16">
        <f t="shared" si="0"/>
        <v>3585.5</v>
      </c>
      <c r="AC7" s="17">
        <f t="shared" si="0"/>
        <v>5402.7999999999993</v>
      </c>
      <c r="AD7" s="16">
        <f>C7-D7</f>
        <v>176.80000000000291</v>
      </c>
      <c r="AE7" s="13" t="s">
        <v>17</v>
      </c>
      <c r="AF7" s="6">
        <f>D20</f>
        <v>806.00000000000011</v>
      </c>
    </row>
    <row r="8" spans="1:60" x14ac:dyDescent="0.2">
      <c r="A8" s="18"/>
      <c r="B8" s="19" t="s">
        <v>18</v>
      </c>
      <c r="C8" s="20"/>
      <c r="D8" s="20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2"/>
      <c r="AE8" s="13" t="s">
        <v>19</v>
      </c>
      <c r="AF8" s="6">
        <f>SUM(D25)</f>
        <v>1042</v>
      </c>
    </row>
    <row r="9" spans="1:60" s="26" customFormat="1" x14ac:dyDescent="0.2">
      <c r="A9" s="23" t="s">
        <v>20</v>
      </c>
      <c r="B9" s="24" t="s">
        <v>21</v>
      </c>
      <c r="C9" s="20">
        <f>F9+H9+J9+L9+N9+P9+R9+T9+V9+X9+Z9+AB9</f>
        <v>19506</v>
      </c>
      <c r="D9" s="20">
        <f>G9+I9+K9+M9+O9+Q9+S9+U9+W9+Y9+AA9+AC9</f>
        <v>19506</v>
      </c>
      <c r="E9" s="20">
        <f>D9/C9%</f>
        <v>100</v>
      </c>
      <c r="F9" s="21">
        <v>2061.1999999999998</v>
      </c>
      <c r="G9" s="21">
        <v>1068.0999999999999</v>
      </c>
      <c r="H9" s="21">
        <v>979.9</v>
      </c>
      <c r="I9" s="21">
        <v>1791.7</v>
      </c>
      <c r="J9" s="21">
        <f>1512.5+39.9</f>
        <v>1552.4</v>
      </c>
      <c r="K9" s="21">
        <f>1562.2+21</f>
        <v>1583.2</v>
      </c>
      <c r="L9" s="21">
        <v>1666.1</v>
      </c>
      <c r="M9" s="21">
        <f>1501.9+75.9</f>
        <v>1577.8000000000002</v>
      </c>
      <c r="N9" s="21">
        <v>1756.5</v>
      </c>
      <c r="O9" s="21">
        <f>1371.1+94.6</f>
        <v>1465.6999999999998</v>
      </c>
      <c r="P9" s="21">
        <v>1697.9</v>
      </c>
      <c r="Q9" s="21">
        <f>960.3+58</f>
        <v>1018.3</v>
      </c>
      <c r="R9" s="21">
        <v>1778.2</v>
      </c>
      <c r="S9" s="21">
        <f>1515.3+91.4</f>
        <v>1606.7</v>
      </c>
      <c r="T9" s="21">
        <v>1001.7</v>
      </c>
      <c r="U9" s="21">
        <f>1881.1+54.1</f>
        <v>1935.1999999999998</v>
      </c>
      <c r="V9" s="21">
        <v>1783.5</v>
      </c>
      <c r="W9" s="21">
        <f>1323.7+97.3</f>
        <v>1421</v>
      </c>
      <c r="X9" s="21">
        <v>1861.6</v>
      </c>
      <c r="Y9" s="21">
        <f>1971.5+56.2</f>
        <v>2027.7</v>
      </c>
      <c r="Z9" s="21">
        <v>1886.9</v>
      </c>
      <c r="AA9" s="21">
        <f>1566.1+133</f>
        <v>1699.1</v>
      </c>
      <c r="AB9" s="21">
        <v>1480.1</v>
      </c>
      <c r="AC9" s="21">
        <f>2214.4+97.1</f>
        <v>2311.5</v>
      </c>
      <c r="AD9" s="22">
        <f>C9-D9</f>
        <v>0</v>
      </c>
      <c r="AE9" s="13" t="s">
        <v>22</v>
      </c>
      <c r="AF9" s="25">
        <f>D45</f>
        <v>4715.2</v>
      </c>
    </row>
    <row r="10" spans="1:60" s="26" customFormat="1" x14ac:dyDescent="0.2">
      <c r="A10" s="23" t="s">
        <v>23</v>
      </c>
      <c r="B10" s="24" t="s">
        <v>24</v>
      </c>
      <c r="C10" s="20">
        <f t="shared" ref="C10:D55" si="1">F10+H10+J10+L10+N10+P10+R10+T10+V10+X10+Z10+AB10</f>
        <v>4262.6000000000004</v>
      </c>
      <c r="D10" s="20">
        <f t="shared" si="1"/>
        <v>4262.6000000000004</v>
      </c>
      <c r="E10" s="20">
        <f>D10/C10%</f>
        <v>100</v>
      </c>
      <c r="F10" s="21">
        <v>453.5</v>
      </c>
      <c r="G10" s="21">
        <v>218.1</v>
      </c>
      <c r="H10" s="21">
        <v>215.6</v>
      </c>
      <c r="I10" s="21">
        <v>382.2</v>
      </c>
      <c r="J10" s="21">
        <f>332.8+8.7</f>
        <v>341.5</v>
      </c>
      <c r="K10" s="21">
        <f>325.7+4.6</f>
        <v>330.3</v>
      </c>
      <c r="L10" s="21">
        <v>315.5</v>
      </c>
      <c r="M10" s="21">
        <f>326.2+16.7</f>
        <v>342.9</v>
      </c>
      <c r="N10" s="21">
        <v>386.4</v>
      </c>
      <c r="O10" s="21">
        <f>359.7+21.8</f>
        <v>381.5</v>
      </c>
      <c r="P10" s="21">
        <v>373.5</v>
      </c>
      <c r="Q10" s="21">
        <f>201.2+11.1</f>
        <v>212.29999999999998</v>
      </c>
      <c r="R10" s="21">
        <v>391.2</v>
      </c>
      <c r="S10" s="21">
        <f>327.7+24.3</f>
        <v>352</v>
      </c>
      <c r="T10" s="21">
        <v>220.4</v>
      </c>
      <c r="U10" s="21">
        <f>408.2+6.1</f>
        <v>414.3</v>
      </c>
      <c r="V10" s="21">
        <v>392.4</v>
      </c>
      <c r="W10" s="21">
        <f>291.2+13.2</f>
        <v>304.39999999999998</v>
      </c>
      <c r="X10" s="21">
        <v>409.5</v>
      </c>
      <c r="Y10" s="21">
        <f>427.1+16.6</f>
        <v>443.70000000000005</v>
      </c>
      <c r="Z10" s="21">
        <v>415.1</v>
      </c>
      <c r="AA10" s="21">
        <f>340.1+26.9</f>
        <v>367</v>
      </c>
      <c r="AB10" s="21">
        <v>348</v>
      </c>
      <c r="AC10" s="21">
        <f>492.8+21.1</f>
        <v>513.9</v>
      </c>
      <c r="AD10" s="22">
        <f>C10-D10</f>
        <v>0</v>
      </c>
    </row>
    <row r="11" spans="1:60" s="26" customFormat="1" x14ac:dyDescent="0.2">
      <c r="A11" s="23" t="s">
        <v>25</v>
      </c>
      <c r="B11" s="24" t="s">
        <v>26</v>
      </c>
      <c r="C11" s="20">
        <f t="shared" si="1"/>
        <v>13774.300000000001</v>
      </c>
      <c r="D11" s="20">
        <f t="shared" si="1"/>
        <v>13681.9</v>
      </c>
      <c r="E11" s="20">
        <f>D11/C11%</f>
        <v>99.329185512149422</v>
      </c>
      <c r="F11" s="21">
        <f>SUM(F12:F19)</f>
        <v>841.80000000000007</v>
      </c>
      <c r="G11" s="21">
        <f t="shared" ref="G11:R11" si="2">SUM(G12:G19)</f>
        <v>62.3</v>
      </c>
      <c r="H11" s="20">
        <f>SUM(H12:H19)</f>
        <v>889.4</v>
      </c>
      <c r="I11" s="21">
        <f t="shared" si="2"/>
        <v>1551.5</v>
      </c>
      <c r="J11" s="21">
        <f>SUM(J12:J19)</f>
        <v>1051.5999999999999</v>
      </c>
      <c r="K11" s="21">
        <f t="shared" si="2"/>
        <v>401.7</v>
      </c>
      <c r="L11" s="21">
        <f t="shared" si="2"/>
        <v>2043.9</v>
      </c>
      <c r="M11" s="21">
        <f t="shared" si="2"/>
        <v>1740.9</v>
      </c>
      <c r="N11" s="21">
        <f t="shared" si="2"/>
        <v>1311.5</v>
      </c>
      <c r="O11" s="21">
        <f t="shared" si="2"/>
        <v>547.20000000000005</v>
      </c>
      <c r="P11" s="21">
        <f t="shared" si="2"/>
        <v>697.60000000000014</v>
      </c>
      <c r="Q11" s="21">
        <f t="shared" si="2"/>
        <v>1659.8999999999999</v>
      </c>
      <c r="R11" s="21">
        <f t="shared" si="2"/>
        <v>1271.3999999999999</v>
      </c>
      <c r="S11" s="21">
        <f>SUM(S12:S19)</f>
        <v>1255.5</v>
      </c>
      <c r="T11" s="20">
        <f>SUM(T12:T19)</f>
        <v>1827.6</v>
      </c>
      <c r="U11" s="21">
        <f>SUM(U12:U19)</f>
        <v>805.8</v>
      </c>
      <c r="V11" s="21">
        <f>SUM(V12:V19)</f>
        <v>1364.5000000000002</v>
      </c>
      <c r="W11" s="20">
        <f>SUM(W12:W19)</f>
        <v>1039.3000000000002</v>
      </c>
      <c r="X11" s="21">
        <f t="shared" ref="X11:AC11" si="3">SUM(X12:X19)</f>
        <v>607.6</v>
      </c>
      <c r="Y11" s="21">
        <f t="shared" si="3"/>
        <v>1259.8999999999999</v>
      </c>
      <c r="Z11" s="21">
        <f t="shared" si="3"/>
        <v>741</v>
      </c>
      <c r="AA11" s="21">
        <f t="shared" si="3"/>
        <v>1779.8999999999999</v>
      </c>
      <c r="AB11" s="21">
        <f t="shared" si="3"/>
        <v>1126.4000000000001</v>
      </c>
      <c r="AC11" s="21">
        <f t="shared" si="3"/>
        <v>1578</v>
      </c>
      <c r="AD11" s="22">
        <f>C11-D11</f>
        <v>92.400000000001455</v>
      </c>
    </row>
    <row r="12" spans="1:60" s="26" customFormat="1" x14ac:dyDescent="0.2">
      <c r="A12" s="23"/>
      <c r="B12" s="24" t="s">
        <v>27</v>
      </c>
      <c r="C12" s="20"/>
      <c r="D12" s="20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2"/>
    </row>
    <row r="13" spans="1:60" s="26" customFormat="1" x14ac:dyDescent="0.2">
      <c r="A13" s="23" t="s">
        <v>28</v>
      </c>
      <c r="B13" s="24" t="s">
        <v>29</v>
      </c>
      <c r="C13" s="20">
        <f t="shared" ref="C13:D15" si="4">F13+H13+J13+L13+N13+P13+R13+T13+V13+X13+Z13+AB13</f>
        <v>7220.4000000000015</v>
      </c>
      <c r="D13" s="20">
        <f t="shared" si="4"/>
        <v>7220.4000000000005</v>
      </c>
      <c r="E13" s="20">
        <f>D13/C13%</f>
        <v>100</v>
      </c>
      <c r="F13" s="27">
        <v>711.7</v>
      </c>
      <c r="G13" s="27">
        <v>62</v>
      </c>
      <c r="H13" s="27">
        <v>579.9</v>
      </c>
      <c r="I13" s="27">
        <v>1126.0999999999999</v>
      </c>
      <c r="J13" s="27">
        <f>280.8+4.3</f>
        <v>285.10000000000002</v>
      </c>
      <c r="K13" s="27">
        <v>71.900000000000006</v>
      </c>
      <c r="L13" s="27">
        <v>572.70000000000005</v>
      </c>
      <c r="M13" s="27">
        <v>802.9</v>
      </c>
      <c r="N13" s="27">
        <v>456.3</v>
      </c>
      <c r="O13" s="27">
        <v>206.4</v>
      </c>
      <c r="P13" s="27">
        <v>410.3</v>
      </c>
      <c r="Q13" s="27">
        <v>669.9</v>
      </c>
      <c r="R13" s="27">
        <v>456.3</v>
      </c>
      <c r="S13" s="27">
        <v>452.4</v>
      </c>
      <c r="T13" s="27">
        <v>540.70000000000005</v>
      </c>
      <c r="U13" s="27">
        <v>449</v>
      </c>
      <c r="V13" s="27">
        <v>829.6</v>
      </c>
      <c r="W13" s="27">
        <f>454.2+43.1</f>
        <v>497.3</v>
      </c>
      <c r="X13" s="27">
        <v>585.79999999999995</v>
      </c>
      <c r="Y13" s="27">
        <v>450</v>
      </c>
      <c r="Z13" s="27">
        <v>681.6</v>
      </c>
      <c r="AA13" s="27">
        <v>941.3</v>
      </c>
      <c r="AB13" s="27">
        <v>1110.4000000000001</v>
      </c>
      <c r="AC13" s="27">
        <v>1491.2</v>
      </c>
      <c r="AD13" s="22">
        <f>C13-D13</f>
        <v>0</v>
      </c>
    </row>
    <row r="14" spans="1:60" s="26" customFormat="1" x14ac:dyDescent="0.2">
      <c r="A14" s="23" t="s">
        <v>30</v>
      </c>
      <c r="B14" s="24" t="s">
        <v>31</v>
      </c>
      <c r="C14" s="20">
        <f t="shared" si="4"/>
        <v>2952.8999999999996</v>
      </c>
      <c r="D14" s="20">
        <f t="shared" si="4"/>
        <v>2887</v>
      </c>
      <c r="E14" s="20">
        <f>D14/C14%</f>
        <v>97.768295573842678</v>
      </c>
      <c r="F14" s="27">
        <v>2.4</v>
      </c>
      <c r="G14" s="27">
        <v>0.3</v>
      </c>
      <c r="H14" s="27">
        <v>41</v>
      </c>
      <c r="I14" s="27">
        <f>39.2+2.5</f>
        <v>41.7</v>
      </c>
      <c r="J14" s="27">
        <v>477.9</v>
      </c>
      <c r="K14" s="27">
        <f>203.6+8.5</f>
        <v>212.1</v>
      </c>
      <c r="L14" s="27">
        <v>648.20000000000005</v>
      </c>
      <c r="M14" s="27">
        <f>456.8+46.2</f>
        <v>503</v>
      </c>
      <c r="N14" s="27">
        <v>195</v>
      </c>
      <c r="O14" s="27">
        <f>52.9+4</f>
        <v>56.9</v>
      </c>
      <c r="P14" s="27">
        <v>141.9</v>
      </c>
      <c r="Q14" s="27">
        <f>409.2+6-277.5</f>
        <v>137.69999999999999</v>
      </c>
      <c r="R14" s="27">
        <v>524</v>
      </c>
      <c r="S14" s="27">
        <f>358.2+16.2</f>
        <v>374.4</v>
      </c>
      <c r="T14" s="27">
        <v>498.7</v>
      </c>
      <c r="U14" s="27">
        <f>177+46.8</f>
        <v>223.8</v>
      </c>
      <c r="V14" s="27">
        <v>359.3</v>
      </c>
      <c r="W14" s="27">
        <f>464.3-138.2+8.5+23.8</f>
        <v>358.40000000000003</v>
      </c>
      <c r="X14" s="27">
        <v>1.7</v>
      </c>
      <c r="Y14" s="27">
        <f>217.9+81.9</f>
        <v>299.8</v>
      </c>
      <c r="Z14" s="27">
        <v>55.1</v>
      </c>
      <c r="AA14" s="27">
        <f>535.1+126.3</f>
        <v>661.4</v>
      </c>
      <c r="AB14" s="27">
        <v>7.7</v>
      </c>
      <c r="AC14" s="27">
        <f>8.4+9.1</f>
        <v>17.5</v>
      </c>
      <c r="AD14" s="22">
        <f t="shared" ref="AD14:AD20" si="5">C14-D14</f>
        <v>65.899999999999636</v>
      </c>
    </row>
    <row r="15" spans="1:60" s="26" customFormat="1" x14ac:dyDescent="0.2">
      <c r="A15" s="23" t="s">
        <v>32</v>
      </c>
      <c r="B15" s="24" t="s">
        <v>33</v>
      </c>
      <c r="C15" s="20">
        <f t="shared" si="4"/>
        <v>0</v>
      </c>
      <c r="D15" s="20">
        <f t="shared" si="4"/>
        <v>0</v>
      </c>
      <c r="E15" s="20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2">
        <f t="shared" si="5"/>
        <v>0</v>
      </c>
    </row>
    <row r="16" spans="1:60" s="26" customFormat="1" x14ac:dyDescent="0.2">
      <c r="A16" s="23" t="s">
        <v>34</v>
      </c>
      <c r="B16" s="24" t="s">
        <v>35</v>
      </c>
      <c r="C16" s="20">
        <f t="shared" si="1"/>
        <v>1039.3</v>
      </c>
      <c r="D16" s="20">
        <f>G16+I16+K16+M16+O16+Q16+S16+U16+W16+Y16+AA16+AC16</f>
        <v>1012.9</v>
      </c>
      <c r="E16" s="20">
        <f>D16/C16%</f>
        <v>97.459828730876566</v>
      </c>
      <c r="F16" s="27">
        <v>27.7</v>
      </c>
      <c r="G16" s="27"/>
      <c r="H16" s="27">
        <v>68.5</v>
      </c>
      <c r="I16" s="27">
        <v>93.6</v>
      </c>
      <c r="J16" s="27">
        <v>138.6</v>
      </c>
      <c r="K16" s="27">
        <v>117.7</v>
      </c>
      <c r="L16" s="27">
        <v>123</v>
      </c>
      <c r="M16" s="27">
        <v>5.3</v>
      </c>
      <c r="N16" s="27">
        <v>141.30000000000001</v>
      </c>
      <c r="O16" s="27">
        <v>78.900000000000006</v>
      </c>
      <c r="P16" s="27">
        <v>83.7</v>
      </c>
      <c r="Q16" s="27">
        <v>46.5</v>
      </c>
      <c r="R16" s="27">
        <v>141.1</v>
      </c>
      <c r="S16" s="27">
        <v>300</v>
      </c>
      <c r="T16" s="27">
        <v>174.8</v>
      </c>
      <c r="U16" s="27">
        <v>129.69999999999999</v>
      </c>
      <c r="V16" s="27">
        <v>107.9</v>
      </c>
      <c r="W16" s="27">
        <v>69.2</v>
      </c>
      <c r="X16" s="27">
        <v>20.100000000000001</v>
      </c>
      <c r="Y16" s="27">
        <v>87.9</v>
      </c>
      <c r="Z16" s="27">
        <v>4.3</v>
      </c>
      <c r="AA16" s="27">
        <v>14.8</v>
      </c>
      <c r="AB16" s="27">
        <v>8.3000000000000007</v>
      </c>
      <c r="AC16" s="27">
        <v>69.3</v>
      </c>
      <c r="AD16" s="22">
        <f t="shared" si="5"/>
        <v>26.399999999999977</v>
      </c>
    </row>
    <row r="17" spans="1:30" s="26" customFormat="1" x14ac:dyDescent="0.2">
      <c r="A17" s="23" t="s">
        <v>36</v>
      </c>
      <c r="B17" s="24" t="s">
        <v>37</v>
      </c>
      <c r="C17" s="20">
        <f t="shared" si="1"/>
        <v>2356.6999999999998</v>
      </c>
      <c r="D17" s="20">
        <f>G17+I17+K17+M17+O17+Q17+S17+U17+W17+Y17+AA17+AC17</f>
        <v>2356.6</v>
      </c>
      <c r="E17" s="20">
        <f t="shared" ref="E17:E18" si="6">D17/C17%</f>
        <v>99.99575677854628</v>
      </c>
      <c r="F17" s="27">
        <v>100</v>
      </c>
      <c r="G17" s="27"/>
      <c r="H17" s="27">
        <v>200</v>
      </c>
      <c r="I17" s="27">
        <f>292.6-2.5</f>
        <v>290.10000000000002</v>
      </c>
      <c r="J17" s="27">
        <v>150</v>
      </c>
      <c r="K17" s="28"/>
      <c r="L17" s="27">
        <v>700</v>
      </c>
      <c r="M17" s="27">
        <v>429.7</v>
      </c>
      <c r="N17" s="27">
        <v>313.89999999999998</v>
      </c>
      <c r="O17" s="27"/>
      <c r="P17" s="27">
        <v>61.7</v>
      </c>
      <c r="Q17" s="27">
        <f>528.3+277.5</f>
        <v>805.8</v>
      </c>
      <c r="R17" s="27">
        <v>150</v>
      </c>
      <c r="S17" s="27">
        <v>128.69999999999999</v>
      </c>
      <c r="T17" s="27">
        <v>613.4</v>
      </c>
      <c r="U17" s="27">
        <v>3.3</v>
      </c>
      <c r="V17" s="27">
        <v>67.7</v>
      </c>
      <c r="W17" s="27">
        <f>138.2-23.8</f>
        <v>114.39999999999999</v>
      </c>
      <c r="X17" s="27"/>
      <c r="Y17" s="27">
        <v>422.2</v>
      </c>
      <c r="Z17" s="27"/>
      <c r="AA17" s="27">
        <v>162.4</v>
      </c>
      <c r="AB17" s="27"/>
      <c r="AC17" s="27"/>
      <c r="AD17" s="22">
        <f t="shared" si="5"/>
        <v>9.9999999999909051E-2</v>
      </c>
    </row>
    <row r="18" spans="1:30" s="26" customFormat="1" x14ac:dyDescent="0.2">
      <c r="A18" s="23" t="s">
        <v>38</v>
      </c>
      <c r="B18" s="24" t="s">
        <v>39</v>
      </c>
      <c r="C18" s="20">
        <f>F18+H18+J18+L18+N18+P18+R18+T18+V18+X18+Z18+AB18</f>
        <v>205</v>
      </c>
      <c r="D18" s="20">
        <f t="shared" si="1"/>
        <v>205</v>
      </c>
      <c r="E18" s="20">
        <f t="shared" si="6"/>
        <v>100.00000000000001</v>
      </c>
      <c r="F18" s="27"/>
      <c r="G18" s="27"/>
      <c r="H18" s="27"/>
      <c r="I18" s="27"/>
      <c r="J18" s="27"/>
      <c r="K18" s="27"/>
      <c r="L18" s="27"/>
      <c r="M18" s="27"/>
      <c r="N18" s="27">
        <v>205</v>
      </c>
      <c r="O18" s="27">
        <v>205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2">
        <f>C18-D18</f>
        <v>0</v>
      </c>
    </row>
    <row r="19" spans="1:30" s="26" customFormat="1" ht="19.5" customHeight="1" x14ac:dyDescent="0.2">
      <c r="A19" s="23" t="s">
        <v>40</v>
      </c>
      <c r="B19" s="24" t="s">
        <v>41</v>
      </c>
      <c r="C19" s="20">
        <f t="shared" si="1"/>
        <v>0</v>
      </c>
      <c r="D19" s="20">
        <f t="shared" si="1"/>
        <v>0</v>
      </c>
      <c r="E19" s="20"/>
      <c r="F19" s="27"/>
      <c r="G19" s="27"/>
      <c r="H19" s="27"/>
      <c r="I19" s="27"/>
      <c r="J19" s="27"/>
      <c r="K19" s="27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7"/>
      <c r="AD19" s="22">
        <f t="shared" si="5"/>
        <v>0</v>
      </c>
    </row>
    <row r="20" spans="1:30" s="26" customFormat="1" x14ac:dyDescent="0.2">
      <c r="A20" s="23" t="s">
        <v>42</v>
      </c>
      <c r="B20" s="24" t="s">
        <v>43</v>
      </c>
      <c r="C20" s="20">
        <f t="shared" si="1"/>
        <v>836.6</v>
      </c>
      <c r="D20" s="20">
        <f t="shared" si="1"/>
        <v>806.00000000000011</v>
      </c>
      <c r="E20" s="20">
        <f>D20/C20%</f>
        <v>96.342338034903193</v>
      </c>
      <c r="F20" s="21">
        <f>SUM(F22:F24)</f>
        <v>154</v>
      </c>
      <c r="G20" s="21">
        <f t="shared" ref="G20:T20" si="7">SUM(G22:G24)</f>
        <v>37.200000000000003</v>
      </c>
      <c r="H20" s="21">
        <f t="shared" si="7"/>
        <v>128</v>
      </c>
      <c r="I20" s="21">
        <f t="shared" si="7"/>
        <v>121.6</v>
      </c>
      <c r="J20" s="21">
        <f t="shared" si="7"/>
        <v>61.8</v>
      </c>
      <c r="K20" s="21">
        <f t="shared" si="7"/>
        <v>88.699999999999989</v>
      </c>
      <c r="L20" s="21">
        <f t="shared" si="7"/>
        <v>139.6</v>
      </c>
      <c r="M20" s="21">
        <f t="shared" si="7"/>
        <v>44.2</v>
      </c>
      <c r="N20" s="21">
        <f>SUM(N22:N24)</f>
        <v>66.099999999999994</v>
      </c>
      <c r="O20" s="21">
        <f>SUM(O22:O24)</f>
        <v>80.400000000000006</v>
      </c>
      <c r="P20" s="21">
        <f t="shared" si="7"/>
        <v>52.7</v>
      </c>
      <c r="Q20" s="21">
        <f t="shared" si="7"/>
        <v>32.799999999999997</v>
      </c>
      <c r="R20" s="21">
        <f t="shared" si="7"/>
        <v>57.7</v>
      </c>
      <c r="S20" s="21">
        <f t="shared" si="7"/>
        <v>10.799999999999999</v>
      </c>
      <c r="T20" s="21">
        <f t="shared" si="7"/>
        <v>45.9</v>
      </c>
      <c r="U20" s="21">
        <f>SUM(U22:U24)</f>
        <v>99.100000000000009</v>
      </c>
      <c r="V20" s="21">
        <f>SUM(V22:V24)</f>
        <v>37</v>
      </c>
      <c r="W20" s="21">
        <f>SUM(W22:W24)</f>
        <v>8.7999999999999989</v>
      </c>
      <c r="X20" s="21">
        <f t="shared" ref="X20:AC20" si="8">SUM(X22:X24)</f>
        <v>51.5</v>
      </c>
      <c r="Y20" s="21">
        <f t="shared" si="8"/>
        <v>93.7</v>
      </c>
      <c r="Z20" s="21">
        <f t="shared" si="8"/>
        <v>14.5</v>
      </c>
      <c r="AA20" s="21">
        <f t="shared" si="8"/>
        <v>38</v>
      </c>
      <c r="AB20" s="21">
        <f t="shared" si="8"/>
        <v>27.8</v>
      </c>
      <c r="AC20" s="21">
        <f t="shared" si="8"/>
        <v>150.70000000000002</v>
      </c>
      <c r="AD20" s="22">
        <f t="shared" si="5"/>
        <v>30.599999999999909</v>
      </c>
    </row>
    <row r="21" spans="1:30" s="26" customFormat="1" x14ac:dyDescent="0.2">
      <c r="A21" s="23"/>
      <c r="B21" s="24" t="s">
        <v>27</v>
      </c>
      <c r="C21" s="20"/>
      <c r="D21" s="20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2"/>
    </row>
    <row r="22" spans="1:30" s="31" customFormat="1" x14ac:dyDescent="0.3">
      <c r="A22" s="23" t="s">
        <v>44</v>
      </c>
      <c r="B22" s="30" t="s">
        <v>45</v>
      </c>
      <c r="C22" s="20">
        <f t="shared" si="1"/>
        <v>81.5</v>
      </c>
      <c r="D22" s="20">
        <f t="shared" si="1"/>
        <v>56.3</v>
      </c>
      <c r="E22" s="20">
        <f>D22/C22%</f>
        <v>69.079754601226995</v>
      </c>
      <c r="F22" s="27">
        <v>31</v>
      </c>
      <c r="G22" s="27">
        <v>14.5</v>
      </c>
      <c r="H22" s="27">
        <v>21</v>
      </c>
      <c r="I22" s="27">
        <v>16.8</v>
      </c>
      <c r="J22" s="27">
        <v>15.5</v>
      </c>
      <c r="K22" s="27">
        <v>15.1</v>
      </c>
      <c r="L22" s="27"/>
      <c r="M22" s="27"/>
      <c r="N22" s="27"/>
      <c r="O22" s="27">
        <v>9.9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>
        <v>6.2</v>
      </c>
      <c r="AA22" s="27"/>
      <c r="AB22" s="27">
        <v>7.8</v>
      </c>
      <c r="AC22" s="27"/>
      <c r="AD22" s="22">
        <f>C22-D22</f>
        <v>25.200000000000003</v>
      </c>
    </row>
    <row r="23" spans="1:30" s="31" customFormat="1" x14ac:dyDescent="0.3">
      <c r="A23" s="23" t="s">
        <v>46</v>
      </c>
      <c r="B23" s="30" t="s">
        <v>47</v>
      </c>
      <c r="C23" s="20">
        <f t="shared" si="1"/>
        <v>494.8</v>
      </c>
      <c r="D23" s="20">
        <f t="shared" si="1"/>
        <v>493.6</v>
      </c>
      <c r="E23" s="20">
        <f>D23/C23%</f>
        <v>99.757477768795468</v>
      </c>
      <c r="F23" s="27">
        <v>109</v>
      </c>
      <c r="G23" s="27">
        <v>14.4</v>
      </c>
      <c r="H23" s="27">
        <v>93</v>
      </c>
      <c r="I23" s="27">
        <v>101.6</v>
      </c>
      <c r="J23" s="27">
        <v>32.9</v>
      </c>
      <c r="K23" s="27">
        <v>63.5</v>
      </c>
      <c r="L23" s="27">
        <v>121.1</v>
      </c>
      <c r="M23" s="27">
        <f>39.6+4</f>
        <v>43.6</v>
      </c>
      <c r="N23" s="27">
        <v>19.600000000000001</v>
      </c>
      <c r="O23" s="27">
        <v>39.9</v>
      </c>
      <c r="P23" s="27">
        <v>21.7</v>
      </c>
      <c r="Q23" s="27">
        <v>18.600000000000001</v>
      </c>
      <c r="R23" s="27">
        <v>21.7</v>
      </c>
      <c r="S23" s="27">
        <f>10.7+0.1</f>
        <v>10.799999999999999</v>
      </c>
      <c r="T23" s="27">
        <v>11.5</v>
      </c>
      <c r="U23" s="27">
        <f>10.3+0.1</f>
        <v>10.4</v>
      </c>
      <c r="V23" s="27">
        <v>8</v>
      </c>
      <c r="W23" s="27">
        <f>8.7+0.1</f>
        <v>8.7999999999999989</v>
      </c>
      <c r="X23" s="27">
        <v>37.5</v>
      </c>
      <c r="Y23" s="27">
        <f>12.3+0.1</f>
        <v>12.4</v>
      </c>
      <c r="Z23" s="27">
        <v>3.8</v>
      </c>
      <c r="AA23" s="27">
        <f>25.2+0.2</f>
        <v>25.4</v>
      </c>
      <c r="AB23" s="27">
        <v>15</v>
      </c>
      <c r="AC23" s="27">
        <f>121.4+22.8</f>
        <v>144.20000000000002</v>
      </c>
      <c r="AD23" s="22">
        <f>C23-D23</f>
        <v>1.1999999999999886</v>
      </c>
    </row>
    <row r="24" spans="1:30" s="31" customFormat="1" x14ac:dyDescent="0.3">
      <c r="A24" s="23" t="s">
        <v>48</v>
      </c>
      <c r="B24" s="30" t="s">
        <v>49</v>
      </c>
      <c r="C24" s="20">
        <f t="shared" si="1"/>
        <v>260.3</v>
      </c>
      <c r="D24" s="20">
        <f t="shared" si="1"/>
        <v>256.10000000000002</v>
      </c>
      <c r="E24" s="20">
        <f>D24/C24%</f>
        <v>98.386477141759514</v>
      </c>
      <c r="F24" s="27">
        <v>14</v>
      </c>
      <c r="G24" s="27">
        <v>8.3000000000000007</v>
      </c>
      <c r="H24" s="27">
        <v>14</v>
      </c>
      <c r="I24" s="27">
        <v>3.2</v>
      </c>
      <c r="J24" s="27">
        <v>13.4</v>
      </c>
      <c r="K24" s="27">
        <v>10.1</v>
      </c>
      <c r="L24" s="27">
        <v>18.5</v>
      </c>
      <c r="M24" s="27">
        <v>0.6</v>
      </c>
      <c r="N24" s="27">
        <v>46.5</v>
      </c>
      <c r="O24" s="27">
        <f>34.6-4</f>
        <v>30.6</v>
      </c>
      <c r="P24" s="27">
        <v>31</v>
      </c>
      <c r="Q24" s="27">
        <v>14.2</v>
      </c>
      <c r="R24" s="27">
        <v>36</v>
      </c>
      <c r="S24" s="27"/>
      <c r="T24" s="27">
        <v>34.4</v>
      </c>
      <c r="U24" s="27">
        <v>88.7</v>
      </c>
      <c r="V24" s="27">
        <v>29</v>
      </c>
      <c r="W24" s="27"/>
      <c r="X24" s="27">
        <v>14</v>
      </c>
      <c r="Y24" s="27">
        <v>81.3</v>
      </c>
      <c r="Z24" s="27">
        <v>4.5</v>
      </c>
      <c r="AA24" s="27">
        <v>12.6</v>
      </c>
      <c r="AB24" s="27">
        <v>5</v>
      </c>
      <c r="AC24" s="27">
        <v>6.5</v>
      </c>
      <c r="AD24" s="22">
        <f>C24-D24</f>
        <v>4.1999999999999886</v>
      </c>
    </row>
    <row r="25" spans="1:30" s="31" customFormat="1" x14ac:dyDescent="0.25">
      <c r="A25" s="23" t="s">
        <v>50</v>
      </c>
      <c r="B25" s="24" t="s">
        <v>51</v>
      </c>
      <c r="C25" s="20">
        <f>F25+H25+J25+L25+N25+P25+R25+T25+V25+X25+Z25+AB25</f>
        <v>1073.9000000000001</v>
      </c>
      <c r="D25" s="20">
        <f>G25+I25+K25+M25+O25+Q25+S25+U25+W25+Y25+AA25+AC25</f>
        <v>1042</v>
      </c>
      <c r="E25" s="20">
        <f>D25/C25%</f>
        <v>97.029518577148707</v>
      </c>
      <c r="F25" s="21">
        <f t="shared" ref="F25:S25" si="9">SUM(F26:F42)</f>
        <v>92.3</v>
      </c>
      <c r="G25" s="21">
        <f t="shared" si="9"/>
        <v>35.799999999999997</v>
      </c>
      <c r="H25" s="21">
        <f t="shared" si="9"/>
        <v>54.199999999999996</v>
      </c>
      <c r="I25" s="21">
        <f t="shared" si="9"/>
        <v>64.699999999999989</v>
      </c>
      <c r="J25" s="21">
        <f t="shared" si="9"/>
        <v>207.10000000000002</v>
      </c>
      <c r="K25" s="21">
        <f t="shared" si="9"/>
        <v>40.199999999999996</v>
      </c>
      <c r="L25" s="21">
        <f t="shared" si="9"/>
        <v>105.10000000000001</v>
      </c>
      <c r="M25" s="21">
        <f t="shared" si="9"/>
        <v>75</v>
      </c>
      <c r="N25" s="21">
        <f t="shared" si="9"/>
        <v>45.800000000000004</v>
      </c>
      <c r="O25" s="21">
        <f t="shared" si="9"/>
        <v>55.4</v>
      </c>
      <c r="P25" s="21">
        <f t="shared" si="9"/>
        <v>155.6</v>
      </c>
      <c r="Q25" s="21">
        <f t="shared" si="9"/>
        <v>107.19999999999999</v>
      </c>
      <c r="R25" s="21">
        <f t="shared" si="9"/>
        <v>114.60000000000001</v>
      </c>
      <c r="S25" s="21">
        <f t="shared" si="9"/>
        <v>123</v>
      </c>
      <c r="T25" s="21">
        <f>SUM(T26:T42)</f>
        <v>72.300000000000011</v>
      </c>
      <c r="U25" s="21">
        <f t="shared" ref="U25:AC25" si="10">SUM(U26:U42)</f>
        <v>70.399999999999991</v>
      </c>
      <c r="V25" s="21">
        <f t="shared" si="10"/>
        <v>79.7</v>
      </c>
      <c r="W25" s="21">
        <f t="shared" si="10"/>
        <v>185.3</v>
      </c>
      <c r="X25" s="21">
        <f t="shared" si="10"/>
        <v>29</v>
      </c>
      <c r="Y25" s="21">
        <f t="shared" si="10"/>
        <v>80.599999999999994</v>
      </c>
      <c r="Z25" s="21">
        <f t="shared" si="10"/>
        <v>37.200000000000003</v>
      </c>
      <c r="AA25" s="21">
        <f t="shared" si="10"/>
        <v>84.600000000000009</v>
      </c>
      <c r="AB25" s="21">
        <f t="shared" si="10"/>
        <v>81</v>
      </c>
      <c r="AC25" s="21">
        <f t="shared" si="10"/>
        <v>119.80000000000001</v>
      </c>
      <c r="AD25" s="22">
        <f>C25-D25</f>
        <v>31.900000000000091</v>
      </c>
    </row>
    <row r="26" spans="1:30" s="31" customFormat="1" x14ac:dyDescent="0.25">
      <c r="A26" s="23"/>
      <c r="B26" s="24" t="s">
        <v>27</v>
      </c>
      <c r="C26" s="20"/>
      <c r="D26" s="20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2"/>
    </row>
    <row r="27" spans="1:30" s="31" customFormat="1" x14ac:dyDescent="0.25">
      <c r="A27" s="23" t="s">
        <v>52</v>
      </c>
      <c r="B27" s="24" t="s">
        <v>53</v>
      </c>
      <c r="C27" s="20">
        <f>F27+H27+J27+L27+N27+P27+R27+T27+V27+X27+Z27+AB27</f>
        <v>16</v>
      </c>
      <c r="D27" s="20">
        <f>G27+I27+K27+M27+O27+Q27+S27+U27+W27+Y27+AA27+AC27</f>
        <v>15.9</v>
      </c>
      <c r="E27" s="20">
        <f>D27/C27%</f>
        <v>99.375</v>
      </c>
      <c r="F27" s="27"/>
      <c r="G27" s="27"/>
      <c r="H27" s="27">
        <v>4.5</v>
      </c>
      <c r="I27" s="27"/>
      <c r="J27" s="27">
        <v>11.5</v>
      </c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>
        <v>15.9</v>
      </c>
      <c r="Z27" s="27"/>
      <c r="AA27" s="27"/>
      <c r="AB27" s="27"/>
      <c r="AC27" s="27"/>
      <c r="AD27" s="22">
        <f>C27-D27</f>
        <v>9.9999999999999645E-2</v>
      </c>
    </row>
    <row r="28" spans="1:30" s="31" customFormat="1" x14ac:dyDescent="0.25">
      <c r="A28" s="23" t="s">
        <v>54</v>
      </c>
      <c r="B28" s="24" t="s">
        <v>55</v>
      </c>
      <c r="C28" s="20">
        <f>F28+H28+J28+L28+N28+P28+R28+T28+V28+X28+Z28+AB28</f>
        <v>147.20000000000005</v>
      </c>
      <c r="D28" s="20">
        <f>G28+I28+K28+M28+O28+Q28+S28+U28+W28+Y28+AA28+AC28</f>
        <v>145.6</v>
      </c>
      <c r="E28" s="20">
        <f>D28/C28%</f>
        <v>98.913043478260832</v>
      </c>
      <c r="F28" s="27">
        <v>14.9</v>
      </c>
      <c r="G28" s="27"/>
      <c r="H28" s="27">
        <v>14.9</v>
      </c>
      <c r="I28" s="27">
        <v>12.9</v>
      </c>
      <c r="J28" s="27">
        <v>20.5</v>
      </c>
      <c r="K28" s="27">
        <v>0.6</v>
      </c>
      <c r="L28" s="27">
        <v>11</v>
      </c>
      <c r="M28" s="27">
        <v>12.9</v>
      </c>
      <c r="N28" s="27">
        <v>10.9</v>
      </c>
      <c r="O28" s="27">
        <v>19.100000000000001</v>
      </c>
      <c r="P28" s="27">
        <v>10.9</v>
      </c>
      <c r="Q28" s="27">
        <v>6.1</v>
      </c>
      <c r="R28" s="27">
        <v>10.9</v>
      </c>
      <c r="S28" s="27">
        <v>12.3</v>
      </c>
      <c r="T28" s="27">
        <v>10.9</v>
      </c>
      <c r="U28" s="27">
        <v>12.3</v>
      </c>
      <c r="V28" s="27">
        <v>10.9</v>
      </c>
      <c r="W28" s="27">
        <v>12.3</v>
      </c>
      <c r="X28" s="27">
        <v>10.9</v>
      </c>
      <c r="Y28" s="27">
        <v>14.3</v>
      </c>
      <c r="Z28" s="27">
        <v>17</v>
      </c>
      <c r="AA28" s="27">
        <v>14.3</v>
      </c>
      <c r="AB28" s="27">
        <v>3.5</v>
      </c>
      <c r="AC28" s="27">
        <v>28.5</v>
      </c>
      <c r="AD28" s="22">
        <f>C28-D28</f>
        <v>1.6000000000000512</v>
      </c>
    </row>
    <row r="29" spans="1:30" s="31" customFormat="1" x14ac:dyDescent="0.25">
      <c r="A29" s="23" t="s">
        <v>56</v>
      </c>
      <c r="B29" s="24" t="s">
        <v>57</v>
      </c>
      <c r="C29" s="20">
        <f t="shared" si="1"/>
        <v>183.3</v>
      </c>
      <c r="D29" s="20">
        <f t="shared" si="1"/>
        <v>183.3</v>
      </c>
      <c r="E29" s="20">
        <f>D29/C29%</f>
        <v>100</v>
      </c>
      <c r="F29" s="27">
        <v>15</v>
      </c>
      <c r="G29" s="27"/>
      <c r="H29" s="27">
        <v>20</v>
      </c>
      <c r="I29" s="27">
        <v>34.5</v>
      </c>
      <c r="J29" s="27">
        <v>58</v>
      </c>
      <c r="K29" s="27"/>
      <c r="L29" s="27"/>
      <c r="M29" s="27">
        <v>1</v>
      </c>
      <c r="N29" s="27"/>
      <c r="O29" s="27">
        <v>2.2000000000000002</v>
      </c>
      <c r="P29" s="27">
        <v>24</v>
      </c>
      <c r="Q29" s="27">
        <v>14.1</v>
      </c>
      <c r="R29" s="27">
        <v>55</v>
      </c>
      <c r="S29" s="27">
        <v>28.9</v>
      </c>
      <c r="T29" s="27">
        <v>8.9</v>
      </c>
      <c r="U29" s="27">
        <v>16</v>
      </c>
      <c r="V29" s="27"/>
      <c r="W29" s="27">
        <v>47.9</v>
      </c>
      <c r="X29" s="27"/>
      <c r="Y29" s="27">
        <v>36.4</v>
      </c>
      <c r="Z29" s="27"/>
      <c r="AA29" s="27"/>
      <c r="AB29" s="27">
        <v>2.4</v>
      </c>
      <c r="AC29" s="27">
        <v>2.2999999999999998</v>
      </c>
      <c r="AD29" s="22">
        <f t="shared" ref="AD29:AD43" si="11">C29-D29</f>
        <v>0</v>
      </c>
    </row>
    <row r="30" spans="1:30" s="31" customFormat="1" ht="18.75" customHeight="1" x14ac:dyDescent="0.25">
      <c r="A30" s="23" t="s">
        <v>58</v>
      </c>
      <c r="B30" s="24" t="s">
        <v>59</v>
      </c>
      <c r="C30" s="20">
        <f t="shared" si="1"/>
        <v>56.499999999999993</v>
      </c>
      <c r="D30" s="20">
        <f t="shared" si="1"/>
        <v>53.900000000000006</v>
      </c>
      <c r="E30" s="20">
        <f t="shared" ref="E30:E43" si="12">D30/C30%</f>
        <v>95.398230088495595</v>
      </c>
      <c r="F30" s="27">
        <v>4.8</v>
      </c>
      <c r="G30" s="27"/>
      <c r="H30" s="27">
        <v>4.8</v>
      </c>
      <c r="I30" s="27">
        <v>4.8</v>
      </c>
      <c r="J30" s="27">
        <v>4.8</v>
      </c>
      <c r="K30" s="27">
        <v>4.8</v>
      </c>
      <c r="L30" s="27">
        <v>4.8</v>
      </c>
      <c r="M30" s="27">
        <v>5</v>
      </c>
      <c r="N30" s="27">
        <v>4.8</v>
      </c>
      <c r="O30" s="27">
        <v>5</v>
      </c>
      <c r="P30" s="27">
        <v>4.8</v>
      </c>
      <c r="Q30" s="27">
        <v>5</v>
      </c>
      <c r="R30" s="27">
        <v>4.8</v>
      </c>
      <c r="S30" s="27">
        <v>5</v>
      </c>
      <c r="T30" s="27">
        <v>4.8</v>
      </c>
      <c r="U30" s="27">
        <v>5</v>
      </c>
      <c r="V30" s="27">
        <v>4.8</v>
      </c>
      <c r="W30" s="27">
        <v>5</v>
      </c>
      <c r="X30" s="27">
        <v>4.8</v>
      </c>
      <c r="Y30" s="27">
        <v>5</v>
      </c>
      <c r="Z30" s="27">
        <v>4.8</v>
      </c>
      <c r="AA30" s="27"/>
      <c r="AB30" s="27">
        <v>3.7</v>
      </c>
      <c r="AC30" s="27">
        <v>9.3000000000000007</v>
      </c>
      <c r="AD30" s="22">
        <f t="shared" si="11"/>
        <v>2.5999999999999872</v>
      </c>
    </row>
    <row r="31" spans="1:30" s="31" customFormat="1" ht="20.25" customHeight="1" x14ac:dyDescent="0.25">
      <c r="A31" s="23" t="s">
        <v>60</v>
      </c>
      <c r="B31" s="24" t="s">
        <v>61</v>
      </c>
      <c r="C31" s="20">
        <f t="shared" si="1"/>
        <v>138.6</v>
      </c>
      <c r="D31" s="20">
        <f t="shared" si="1"/>
        <v>112.4</v>
      </c>
      <c r="E31" s="20">
        <f t="shared" si="12"/>
        <v>81.09668109668111</v>
      </c>
      <c r="F31" s="27">
        <v>10</v>
      </c>
      <c r="G31" s="27"/>
      <c r="H31" s="27">
        <v>10</v>
      </c>
      <c r="I31" s="27">
        <v>12.4</v>
      </c>
      <c r="J31" s="27">
        <v>10</v>
      </c>
      <c r="K31" s="27">
        <v>12.2</v>
      </c>
      <c r="L31" s="27">
        <v>61.5</v>
      </c>
      <c r="M31" s="27">
        <v>6.1</v>
      </c>
      <c r="N31" s="27">
        <v>3.5</v>
      </c>
      <c r="O31" s="27">
        <v>3.4</v>
      </c>
      <c r="P31" s="27">
        <v>3.5</v>
      </c>
      <c r="Q31" s="27"/>
      <c r="R31" s="27">
        <v>3.5</v>
      </c>
      <c r="S31" s="27">
        <v>5.5</v>
      </c>
      <c r="T31" s="27">
        <v>3.5</v>
      </c>
      <c r="U31" s="27">
        <v>4.5</v>
      </c>
      <c r="V31" s="27">
        <v>3.5</v>
      </c>
      <c r="W31" s="27">
        <v>4.2</v>
      </c>
      <c r="X31" s="27">
        <v>10.5</v>
      </c>
      <c r="Y31" s="27">
        <v>4.2</v>
      </c>
      <c r="Z31" s="27">
        <v>10</v>
      </c>
      <c r="AA31" s="27">
        <v>47.1</v>
      </c>
      <c r="AB31" s="27">
        <v>9.1</v>
      </c>
      <c r="AC31" s="27">
        <v>12.8</v>
      </c>
      <c r="AD31" s="22">
        <f t="shared" si="11"/>
        <v>26.199999999999989</v>
      </c>
    </row>
    <row r="32" spans="1:30" s="31" customFormat="1" ht="22.5" customHeight="1" x14ac:dyDescent="0.25">
      <c r="A32" s="23" t="s">
        <v>62</v>
      </c>
      <c r="B32" s="24" t="s">
        <v>63</v>
      </c>
      <c r="C32" s="20">
        <f t="shared" si="1"/>
        <v>23.8</v>
      </c>
      <c r="D32" s="20">
        <f t="shared" si="1"/>
        <v>23.8</v>
      </c>
      <c r="E32" s="20">
        <f t="shared" si="12"/>
        <v>100</v>
      </c>
      <c r="F32" s="27">
        <v>7</v>
      </c>
      <c r="G32" s="27"/>
      <c r="H32" s="27"/>
      <c r="I32" s="27"/>
      <c r="J32" s="27"/>
      <c r="K32" s="27"/>
      <c r="L32" s="27">
        <v>7</v>
      </c>
      <c r="M32" s="27"/>
      <c r="N32" s="27"/>
      <c r="O32" s="27"/>
      <c r="P32" s="28"/>
      <c r="Q32" s="28"/>
      <c r="R32" s="27">
        <v>7</v>
      </c>
      <c r="S32" s="28"/>
      <c r="T32" s="28"/>
      <c r="U32" s="27"/>
      <c r="V32" s="27"/>
      <c r="W32" s="27">
        <v>19</v>
      </c>
      <c r="X32" s="27">
        <v>2.8</v>
      </c>
      <c r="Y32" s="27">
        <v>4.8</v>
      </c>
      <c r="Z32" s="27"/>
      <c r="AA32" s="27"/>
      <c r="AB32" s="27"/>
      <c r="AC32" s="27"/>
      <c r="AD32" s="22">
        <f t="shared" si="11"/>
        <v>0</v>
      </c>
    </row>
    <row r="33" spans="1:30" s="31" customFormat="1" ht="19.5" customHeight="1" x14ac:dyDescent="0.25">
      <c r="A33" s="23" t="s">
        <v>64</v>
      </c>
      <c r="B33" s="24" t="s">
        <v>65</v>
      </c>
      <c r="C33" s="20">
        <f t="shared" si="1"/>
        <v>0</v>
      </c>
      <c r="D33" s="20">
        <f t="shared" si="1"/>
        <v>0</v>
      </c>
      <c r="E33" s="20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2">
        <f t="shared" si="11"/>
        <v>0</v>
      </c>
    </row>
    <row r="34" spans="1:30" s="31" customFormat="1" ht="19.5" customHeight="1" x14ac:dyDescent="0.25">
      <c r="A34" s="23" t="s">
        <v>66</v>
      </c>
      <c r="B34" s="24" t="s">
        <v>67</v>
      </c>
      <c r="C34" s="20">
        <f t="shared" si="1"/>
        <v>53.4</v>
      </c>
      <c r="D34" s="20">
        <f t="shared" si="1"/>
        <v>53.3</v>
      </c>
      <c r="E34" s="20">
        <f t="shared" si="12"/>
        <v>99.812734082396986</v>
      </c>
      <c r="F34" s="27"/>
      <c r="G34" s="27"/>
      <c r="H34" s="27"/>
      <c r="I34" s="27"/>
      <c r="J34" s="27"/>
      <c r="K34" s="27"/>
      <c r="L34" s="27"/>
      <c r="M34" s="27"/>
      <c r="N34" s="27">
        <v>8.8000000000000007</v>
      </c>
      <c r="O34" s="27"/>
      <c r="P34" s="27">
        <v>7</v>
      </c>
      <c r="Q34" s="27">
        <v>14.1</v>
      </c>
      <c r="R34" s="27">
        <v>27</v>
      </c>
      <c r="S34" s="27">
        <v>10.6</v>
      </c>
      <c r="T34" s="27">
        <v>7</v>
      </c>
      <c r="U34" s="27">
        <v>21.8</v>
      </c>
      <c r="V34" s="27">
        <v>3.6</v>
      </c>
      <c r="W34" s="27">
        <v>6.8</v>
      </c>
      <c r="X34" s="27"/>
      <c r="Y34" s="27"/>
      <c r="Z34" s="27"/>
      <c r="AA34" s="27"/>
      <c r="AB34" s="27"/>
      <c r="AC34" s="27"/>
      <c r="AD34" s="22">
        <f t="shared" si="11"/>
        <v>0.10000000000000142</v>
      </c>
    </row>
    <row r="35" spans="1:30" s="31" customFormat="1" ht="19.5" customHeight="1" x14ac:dyDescent="0.25">
      <c r="A35" s="23" t="s">
        <v>68</v>
      </c>
      <c r="B35" s="24" t="s">
        <v>69</v>
      </c>
      <c r="C35" s="20">
        <f t="shared" si="1"/>
        <v>49.099999999999994</v>
      </c>
      <c r="D35" s="20">
        <f t="shared" si="1"/>
        <v>49</v>
      </c>
      <c r="E35" s="20">
        <f t="shared" si="12"/>
        <v>99.796334012219972</v>
      </c>
      <c r="F35" s="27">
        <v>35.799999999999997</v>
      </c>
      <c r="G35" s="27">
        <v>35.799999999999997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8"/>
      <c r="T35" s="28"/>
      <c r="U35" s="27"/>
      <c r="V35" s="27"/>
      <c r="W35" s="27"/>
      <c r="X35" s="27"/>
      <c r="Y35" s="27"/>
      <c r="Z35" s="27"/>
      <c r="AA35" s="27"/>
      <c r="AB35" s="27">
        <v>13.3</v>
      </c>
      <c r="AC35" s="27">
        <v>13.2</v>
      </c>
      <c r="AD35" s="22">
        <f t="shared" si="11"/>
        <v>9.9999999999994316E-2</v>
      </c>
    </row>
    <row r="36" spans="1:30" s="31" customFormat="1" ht="19.5" customHeight="1" x14ac:dyDescent="0.25">
      <c r="A36" s="23" t="s">
        <v>70</v>
      </c>
      <c r="B36" s="24" t="s">
        <v>71</v>
      </c>
      <c r="C36" s="20">
        <f t="shared" si="1"/>
        <v>2.2000000000000002</v>
      </c>
      <c r="D36" s="20">
        <f t="shared" si="1"/>
        <v>2.2000000000000002</v>
      </c>
      <c r="E36" s="20">
        <f t="shared" si="12"/>
        <v>100</v>
      </c>
      <c r="F36" s="27"/>
      <c r="G36" s="27"/>
      <c r="H36" s="27"/>
      <c r="I36" s="27"/>
      <c r="J36" s="27"/>
      <c r="K36" s="27"/>
      <c r="L36" s="27">
        <v>2.2000000000000002</v>
      </c>
      <c r="M36" s="27"/>
      <c r="N36" s="27"/>
      <c r="O36" s="27"/>
      <c r="P36" s="27"/>
      <c r="Q36" s="27"/>
      <c r="R36" s="27"/>
      <c r="S36" s="27">
        <v>2.2000000000000002</v>
      </c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2">
        <f t="shared" si="11"/>
        <v>0</v>
      </c>
    </row>
    <row r="37" spans="1:30" s="31" customFormat="1" ht="19.5" customHeight="1" x14ac:dyDescent="0.25">
      <c r="A37" s="23" t="s">
        <v>72</v>
      </c>
      <c r="B37" s="24" t="s">
        <v>73</v>
      </c>
      <c r="C37" s="20">
        <f t="shared" si="1"/>
        <v>243</v>
      </c>
      <c r="D37" s="20">
        <f t="shared" si="1"/>
        <v>243</v>
      </c>
      <c r="E37" s="20">
        <f t="shared" si="12"/>
        <v>100</v>
      </c>
      <c r="F37" s="27"/>
      <c r="G37" s="27"/>
      <c r="H37" s="27"/>
      <c r="I37" s="27"/>
      <c r="J37" s="27">
        <v>50</v>
      </c>
      <c r="K37" s="27"/>
      <c r="L37" s="27"/>
      <c r="M37" s="27">
        <v>50</v>
      </c>
      <c r="N37" s="27"/>
      <c r="O37" s="27"/>
      <c r="P37" s="27">
        <v>95</v>
      </c>
      <c r="Q37" s="27">
        <v>46</v>
      </c>
      <c r="R37" s="27"/>
      <c r="S37" s="27">
        <v>49</v>
      </c>
      <c r="T37" s="27"/>
      <c r="U37" s="27"/>
      <c r="V37" s="27">
        <v>49</v>
      </c>
      <c r="W37" s="27">
        <v>49</v>
      </c>
      <c r="X37" s="27"/>
      <c r="Y37" s="27"/>
      <c r="Z37" s="27"/>
      <c r="AA37" s="27"/>
      <c r="AB37" s="27">
        <v>49</v>
      </c>
      <c r="AC37" s="27">
        <v>49</v>
      </c>
      <c r="AD37" s="22">
        <f t="shared" si="11"/>
        <v>0</v>
      </c>
    </row>
    <row r="38" spans="1:30" s="31" customFormat="1" ht="19.5" customHeight="1" x14ac:dyDescent="0.25">
      <c r="A38" s="23" t="s">
        <v>74</v>
      </c>
      <c r="B38" s="24" t="s">
        <v>75</v>
      </c>
      <c r="C38" s="20">
        <f t="shared" si="1"/>
        <v>8.1</v>
      </c>
      <c r="D38" s="20">
        <f t="shared" si="1"/>
        <v>8.1</v>
      </c>
      <c r="E38" s="20">
        <f t="shared" si="12"/>
        <v>99.999999999999986</v>
      </c>
      <c r="F38" s="27"/>
      <c r="G38" s="27"/>
      <c r="H38" s="27"/>
      <c r="I38" s="27"/>
      <c r="J38" s="27">
        <v>8.1</v>
      </c>
      <c r="K38" s="27">
        <v>8.1</v>
      </c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2">
        <f t="shared" si="11"/>
        <v>0</v>
      </c>
    </row>
    <row r="39" spans="1:30" s="31" customFormat="1" ht="19.5" customHeight="1" x14ac:dyDescent="0.25">
      <c r="A39" s="23" t="s">
        <v>76</v>
      </c>
      <c r="B39" s="24" t="s">
        <v>77</v>
      </c>
      <c r="C39" s="20">
        <f t="shared" si="1"/>
        <v>29.199999999999996</v>
      </c>
      <c r="D39" s="20">
        <f t="shared" si="1"/>
        <v>29.2</v>
      </c>
      <c r="E39" s="20">
        <f t="shared" si="12"/>
        <v>100</v>
      </c>
      <c r="F39" s="27"/>
      <c r="G39" s="27"/>
      <c r="H39" s="27"/>
      <c r="I39" s="27"/>
      <c r="J39" s="27"/>
      <c r="K39" s="27"/>
      <c r="L39" s="27">
        <v>1.5</v>
      </c>
      <c r="M39" s="27"/>
      <c r="N39" s="27">
        <v>13.7</v>
      </c>
      <c r="O39" s="27"/>
      <c r="P39" s="32">
        <v>7.6</v>
      </c>
      <c r="Q39" s="27">
        <v>17.899999999999999</v>
      </c>
      <c r="R39" s="27">
        <v>6.4</v>
      </c>
      <c r="S39" s="27"/>
      <c r="T39" s="27"/>
      <c r="U39" s="27"/>
      <c r="V39" s="27"/>
      <c r="W39" s="27"/>
      <c r="X39" s="27"/>
      <c r="Y39" s="27"/>
      <c r="Z39" s="27"/>
      <c r="AA39" s="27">
        <v>11.3</v>
      </c>
      <c r="AB39" s="27"/>
      <c r="AC39" s="27"/>
      <c r="AD39" s="22">
        <f>C39-D39</f>
        <v>0</v>
      </c>
    </row>
    <row r="40" spans="1:30" s="31" customFormat="1" ht="19.5" customHeight="1" x14ac:dyDescent="0.25">
      <c r="A40" s="23" t="s">
        <v>78</v>
      </c>
      <c r="B40" s="24" t="s">
        <v>79</v>
      </c>
      <c r="C40" s="20">
        <f t="shared" si="1"/>
        <v>41.5</v>
      </c>
      <c r="D40" s="20">
        <f t="shared" si="1"/>
        <v>41.5</v>
      </c>
      <c r="E40" s="20">
        <f t="shared" si="12"/>
        <v>100</v>
      </c>
      <c r="F40" s="27"/>
      <c r="G40" s="27"/>
      <c r="H40" s="27"/>
      <c r="I40" s="27"/>
      <c r="J40" s="27">
        <v>15.8</v>
      </c>
      <c r="K40" s="27"/>
      <c r="L40" s="27">
        <v>12.4</v>
      </c>
      <c r="M40" s="27"/>
      <c r="N40" s="27"/>
      <c r="O40" s="27">
        <v>25.7</v>
      </c>
      <c r="P40" s="32"/>
      <c r="Q40" s="27"/>
      <c r="R40" s="27"/>
      <c r="S40" s="27"/>
      <c r="T40" s="27"/>
      <c r="U40" s="27"/>
      <c r="V40" s="27">
        <v>7.9</v>
      </c>
      <c r="W40" s="27">
        <v>3.9</v>
      </c>
      <c r="X40" s="27"/>
      <c r="Y40" s="27"/>
      <c r="Z40" s="27">
        <v>5.4</v>
      </c>
      <c r="AA40" s="27">
        <v>11.9</v>
      </c>
      <c r="AB40" s="27"/>
      <c r="AC40" s="27"/>
      <c r="AD40" s="22">
        <f t="shared" ref="AD40:AD42" si="13">C40-D40</f>
        <v>0</v>
      </c>
    </row>
    <row r="41" spans="1:30" s="31" customFormat="1" ht="19.5" customHeight="1" x14ac:dyDescent="0.25">
      <c r="A41" s="23" t="s">
        <v>80</v>
      </c>
      <c r="B41" s="24" t="s">
        <v>81</v>
      </c>
      <c r="C41" s="20">
        <f t="shared" si="1"/>
        <v>44.8</v>
      </c>
      <c r="D41" s="20">
        <f t="shared" si="1"/>
        <v>43.600000000000009</v>
      </c>
      <c r="E41" s="20">
        <f t="shared" si="12"/>
        <v>97.321428571428598</v>
      </c>
      <c r="F41" s="27">
        <v>4.8</v>
      </c>
      <c r="G41" s="27"/>
      <c r="H41" s="27"/>
      <c r="I41" s="27">
        <v>0.1</v>
      </c>
      <c r="J41" s="27">
        <v>28.4</v>
      </c>
      <c r="K41" s="27">
        <v>14.5</v>
      </c>
      <c r="L41" s="27">
        <v>4.7</v>
      </c>
      <c r="M41" s="27"/>
      <c r="N41" s="27">
        <v>4.0999999999999996</v>
      </c>
      <c r="O41" s="27"/>
      <c r="P41" s="32">
        <v>2.8</v>
      </c>
      <c r="Q41" s="27">
        <v>4</v>
      </c>
      <c r="R41" s="27"/>
      <c r="S41" s="27">
        <v>9.5</v>
      </c>
      <c r="T41" s="27"/>
      <c r="U41" s="27">
        <f>8+2.8</f>
        <v>10.8</v>
      </c>
      <c r="V41" s="27"/>
      <c r="W41" s="27"/>
      <c r="X41" s="27"/>
      <c r="Y41" s="27"/>
      <c r="Z41" s="27"/>
      <c r="AA41" s="27"/>
      <c r="AB41" s="27"/>
      <c r="AC41" s="27">
        <v>4.7</v>
      </c>
      <c r="AD41" s="22">
        <f t="shared" si="13"/>
        <v>1.1999999999999886</v>
      </c>
    </row>
    <row r="42" spans="1:30" s="31" customFormat="1" ht="19.5" customHeight="1" x14ac:dyDescent="0.25">
      <c r="A42" s="23" t="s">
        <v>82</v>
      </c>
      <c r="B42" s="24" t="s">
        <v>83</v>
      </c>
      <c r="C42" s="20">
        <f t="shared" si="1"/>
        <v>37.200000000000003</v>
      </c>
      <c r="D42" s="20">
        <f t="shared" si="1"/>
        <v>37.200000000000003</v>
      </c>
      <c r="E42" s="20">
        <f>D42/C42%</f>
        <v>100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32"/>
      <c r="Q42" s="27"/>
      <c r="R42" s="27"/>
      <c r="S42" s="27"/>
      <c r="T42" s="27">
        <v>37.200000000000003</v>
      </c>
      <c r="U42" s="27"/>
      <c r="V42" s="27"/>
      <c r="W42" s="27">
        <v>37.200000000000003</v>
      </c>
      <c r="X42" s="27"/>
      <c r="Y42" s="27"/>
      <c r="Z42" s="27"/>
      <c r="AA42" s="27"/>
      <c r="AB42" s="27"/>
      <c r="AC42" s="27"/>
      <c r="AD42" s="22">
        <f t="shared" si="13"/>
        <v>0</v>
      </c>
    </row>
    <row r="43" spans="1:30" s="31" customFormat="1" x14ac:dyDescent="0.25">
      <c r="A43" s="23" t="s">
        <v>84</v>
      </c>
      <c r="B43" s="24" t="s">
        <v>85</v>
      </c>
      <c r="C43" s="20">
        <f t="shared" si="1"/>
        <v>4737.1000000000004</v>
      </c>
      <c r="D43" s="20">
        <f t="shared" si="1"/>
        <v>4715.2</v>
      </c>
      <c r="E43" s="20">
        <f t="shared" si="12"/>
        <v>99.537691836777768</v>
      </c>
      <c r="F43" s="21">
        <f>SUM(F44:F46)</f>
        <v>365.9</v>
      </c>
      <c r="G43" s="21">
        <f t="shared" ref="G43:AC43" si="14">SUM(G44:G46)</f>
        <v>314</v>
      </c>
      <c r="H43" s="21">
        <f t="shared" si="14"/>
        <v>365.9</v>
      </c>
      <c r="I43" s="21">
        <f t="shared" si="14"/>
        <v>365</v>
      </c>
      <c r="J43" s="21">
        <f t="shared" si="14"/>
        <v>365.40000000000003</v>
      </c>
      <c r="K43" s="21">
        <f t="shared" si="14"/>
        <v>415</v>
      </c>
      <c r="L43" s="21">
        <f t="shared" si="14"/>
        <v>331.6</v>
      </c>
      <c r="M43" s="21">
        <f t="shared" si="14"/>
        <v>309.89999999999998</v>
      </c>
      <c r="N43" s="21">
        <f t="shared" si="14"/>
        <v>347.4</v>
      </c>
      <c r="O43" s="21">
        <f t="shared" si="14"/>
        <v>324.10000000000002</v>
      </c>
      <c r="P43" s="21">
        <f t="shared" si="14"/>
        <v>345.3</v>
      </c>
      <c r="Q43" s="21">
        <f t="shared" si="14"/>
        <v>324.10000000000002</v>
      </c>
      <c r="R43" s="21">
        <f t="shared" si="14"/>
        <v>375</v>
      </c>
      <c r="S43" s="21">
        <f t="shared" si="14"/>
        <v>340</v>
      </c>
      <c r="T43" s="21">
        <f t="shared" si="14"/>
        <v>362.3</v>
      </c>
      <c r="U43" s="21">
        <f t="shared" si="14"/>
        <v>421</v>
      </c>
      <c r="V43" s="21">
        <f t="shared" si="14"/>
        <v>362.6</v>
      </c>
      <c r="W43" s="21">
        <f t="shared" si="14"/>
        <v>354.1</v>
      </c>
      <c r="X43" s="21">
        <f t="shared" si="14"/>
        <v>468.7</v>
      </c>
      <c r="Y43" s="21">
        <f t="shared" si="14"/>
        <v>354.1</v>
      </c>
      <c r="Z43" s="21">
        <f t="shared" si="14"/>
        <v>524.79999999999995</v>
      </c>
      <c r="AA43" s="21">
        <f t="shared" si="14"/>
        <v>465</v>
      </c>
      <c r="AB43" s="21">
        <f t="shared" si="14"/>
        <v>522.20000000000005</v>
      </c>
      <c r="AC43" s="21">
        <f t="shared" si="14"/>
        <v>728.9</v>
      </c>
      <c r="AD43" s="22">
        <f t="shared" si="11"/>
        <v>21.900000000000546</v>
      </c>
    </row>
    <row r="44" spans="1:30" s="31" customFormat="1" x14ac:dyDescent="0.25">
      <c r="A44" s="23"/>
      <c r="B44" s="24" t="s">
        <v>18</v>
      </c>
      <c r="C44" s="20"/>
      <c r="D44" s="20"/>
      <c r="E44" s="20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2"/>
    </row>
    <row r="45" spans="1:30" s="31" customFormat="1" x14ac:dyDescent="0.25">
      <c r="A45" s="23" t="s">
        <v>86</v>
      </c>
      <c r="B45" s="24" t="s">
        <v>87</v>
      </c>
      <c r="C45" s="20">
        <f t="shared" si="1"/>
        <v>4737.1000000000004</v>
      </c>
      <c r="D45" s="20">
        <f t="shared" si="1"/>
        <v>4715.2</v>
      </c>
      <c r="E45" s="20">
        <f>D45/C45%</f>
        <v>99.537691836777768</v>
      </c>
      <c r="F45" s="27">
        <v>365.9</v>
      </c>
      <c r="G45" s="27">
        <v>314</v>
      </c>
      <c r="H45" s="27">
        <v>365.9</v>
      </c>
      <c r="I45" s="27">
        <v>365</v>
      </c>
      <c r="J45" s="27">
        <f>357.3+8.1</f>
        <v>365.40000000000003</v>
      </c>
      <c r="K45" s="27">
        <f>409.9+5.1</f>
        <v>415</v>
      </c>
      <c r="L45" s="27">
        <v>331.6</v>
      </c>
      <c r="M45" s="27">
        <f>300+9.9</f>
        <v>309.89999999999998</v>
      </c>
      <c r="N45" s="27">
        <v>347.4</v>
      </c>
      <c r="O45" s="27">
        <f>320+4.1</f>
        <v>324.10000000000002</v>
      </c>
      <c r="P45" s="27">
        <v>345.3</v>
      </c>
      <c r="Q45" s="27">
        <f>320+4.1</f>
        <v>324.10000000000002</v>
      </c>
      <c r="R45" s="27">
        <v>375</v>
      </c>
      <c r="S45" s="27">
        <v>340</v>
      </c>
      <c r="T45" s="27">
        <v>362.3</v>
      </c>
      <c r="U45" s="27">
        <f>350+71</f>
        <v>421</v>
      </c>
      <c r="V45" s="27">
        <v>362.6</v>
      </c>
      <c r="W45" s="27">
        <f>350+4.1</f>
        <v>354.1</v>
      </c>
      <c r="X45" s="27">
        <v>468.7</v>
      </c>
      <c r="Y45" s="27">
        <f>350+4.1</f>
        <v>354.1</v>
      </c>
      <c r="Z45" s="27">
        <v>524.79999999999995</v>
      </c>
      <c r="AA45" s="27">
        <f>450+15</f>
        <v>465</v>
      </c>
      <c r="AB45" s="27">
        <v>522.20000000000005</v>
      </c>
      <c r="AC45" s="27">
        <f>617.9+111</f>
        <v>728.9</v>
      </c>
      <c r="AD45" s="22">
        <f>C45-D45</f>
        <v>21.900000000000546</v>
      </c>
    </row>
    <row r="46" spans="1:30" s="33" customFormat="1" ht="19.5" hidden="1" customHeight="1" x14ac:dyDescent="0.25">
      <c r="A46" s="18" t="s">
        <v>88</v>
      </c>
      <c r="B46" s="24" t="s">
        <v>89</v>
      </c>
      <c r="C46" s="20">
        <f t="shared" si="1"/>
        <v>0</v>
      </c>
      <c r="D46" s="20">
        <f t="shared" si="1"/>
        <v>0</v>
      </c>
      <c r="E46" s="20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0">
        <f>C46-D46</f>
        <v>0</v>
      </c>
    </row>
    <row r="47" spans="1:30" s="33" customFormat="1" ht="18" customHeight="1" x14ac:dyDescent="0.25">
      <c r="A47" s="14" t="s">
        <v>90</v>
      </c>
      <c r="B47" s="15" t="s">
        <v>91</v>
      </c>
      <c r="C47" s="16">
        <f>F47+H47+J47+L47+N47+P47+R47+T47+V47+X47+Z47+AB47</f>
        <v>361.40000000000003</v>
      </c>
      <c r="D47" s="16">
        <f>G47+I47+K47+M47+O47+Q47+S47+U47+W47+Y47+AA47+AC47</f>
        <v>332.7</v>
      </c>
      <c r="E47" s="16">
        <f>D47/C47%</f>
        <v>92.058660763696722</v>
      </c>
      <c r="F47" s="17">
        <f t="shared" ref="F47:AC47" si="15">SUM(F49:F58)</f>
        <v>0</v>
      </c>
      <c r="G47" s="17">
        <f t="shared" si="15"/>
        <v>0</v>
      </c>
      <c r="H47" s="17">
        <f t="shared" si="15"/>
        <v>0</v>
      </c>
      <c r="I47" s="17">
        <f t="shared" si="15"/>
        <v>0</v>
      </c>
      <c r="J47" s="17">
        <f t="shared" si="15"/>
        <v>0</v>
      </c>
      <c r="K47" s="17">
        <f t="shared" si="15"/>
        <v>0</v>
      </c>
      <c r="L47" s="17">
        <f t="shared" si="15"/>
        <v>325.40000000000003</v>
      </c>
      <c r="M47" s="17">
        <f t="shared" si="15"/>
        <v>89.8</v>
      </c>
      <c r="N47" s="17">
        <f t="shared" si="15"/>
        <v>36</v>
      </c>
      <c r="O47" s="17">
        <f t="shared" si="15"/>
        <v>0</v>
      </c>
      <c r="P47" s="17">
        <f t="shared" si="15"/>
        <v>0</v>
      </c>
      <c r="Q47" s="17">
        <f t="shared" si="15"/>
        <v>0</v>
      </c>
      <c r="R47" s="17">
        <f t="shared" si="15"/>
        <v>0</v>
      </c>
      <c r="S47" s="17">
        <f t="shared" si="15"/>
        <v>34.9</v>
      </c>
      <c r="T47" s="17">
        <f t="shared" si="15"/>
        <v>0</v>
      </c>
      <c r="U47" s="17">
        <f t="shared" si="15"/>
        <v>57.5</v>
      </c>
      <c r="V47" s="17">
        <f t="shared" si="15"/>
        <v>0</v>
      </c>
      <c r="W47" s="17">
        <f t="shared" si="15"/>
        <v>0</v>
      </c>
      <c r="X47" s="17">
        <f t="shared" si="15"/>
        <v>0</v>
      </c>
      <c r="Y47" s="17">
        <f t="shared" si="15"/>
        <v>133.5</v>
      </c>
      <c r="Z47" s="17">
        <f t="shared" si="15"/>
        <v>0</v>
      </c>
      <c r="AA47" s="17">
        <f t="shared" si="15"/>
        <v>0</v>
      </c>
      <c r="AB47" s="17">
        <f t="shared" si="15"/>
        <v>0</v>
      </c>
      <c r="AC47" s="17">
        <f t="shared" si="15"/>
        <v>17</v>
      </c>
      <c r="AD47" s="16">
        <f>C47-D47</f>
        <v>28.700000000000045</v>
      </c>
    </row>
    <row r="48" spans="1:30" s="33" customFormat="1" x14ac:dyDescent="0.25">
      <c r="A48" s="23"/>
      <c r="B48" s="24" t="s">
        <v>18</v>
      </c>
      <c r="C48" s="20"/>
      <c r="D48" s="20"/>
      <c r="E48" s="20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1:30" s="31" customFormat="1" x14ac:dyDescent="0.3">
      <c r="A49" s="23" t="s">
        <v>92</v>
      </c>
      <c r="B49" s="34" t="s">
        <v>93</v>
      </c>
      <c r="C49" s="20">
        <f>F49+H49+J49+L49+N49+P49+R49+T49+V49+X49+Z49+AB49</f>
        <v>132.30000000000001</v>
      </c>
      <c r="D49" s="20">
        <f>G49+I49+K49+M49+O49+Q49+S49+U49+W49+Y49+AA49+AC49</f>
        <v>132.30000000000001</v>
      </c>
      <c r="E49" s="20">
        <f t="shared" ref="E49:E58" si="16">D49/C49%</f>
        <v>100</v>
      </c>
      <c r="F49" s="27"/>
      <c r="G49" s="27"/>
      <c r="H49" s="27"/>
      <c r="I49" s="27"/>
      <c r="J49" s="27"/>
      <c r="K49" s="27"/>
      <c r="L49" s="27">
        <v>132.30000000000001</v>
      </c>
      <c r="M49" s="27">
        <v>49.8</v>
      </c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>
        <v>82.5</v>
      </c>
      <c r="Z49" s="27"/>
      <c r="AA49" s="27"/>
      <c r="AB49" s="27"/>
      <c r="AC49" s="27"/>
      <c r="AD49" s="21">
        <f t="shared" ref="AD49:AD58" si="17">C49-D49</f>
        <v>0</v>
      </c>
    </row>
    <row r="50" spans="1:30" s="31" customFormat="1" x14ac:dyDescent="0.3">
      <c r="A50" s="23" t="s">
        <v>94</v>
      </c>
      <c r="B50" s="34" t="s">
        <v>95</v>
      </c>
      <c r="C50" s="20">
        <f t="shared" si="1"/>
        <v>40</v>
      </c>
      <c r="D50" s="20">
        <f t="shared" si="1"/>
        <v>40</v>
      </c>
      <c r="E50" s="20">
        <f t="shared" si="16"/>
        <v>100</v>
      </c>
      <c r="F50" s="27"/>
      <c r="G50" s="27"/>
      <c r="H50" s="27"/>
      <c r="I50" s="27"/>
      <c r="J50" s="27"/>
      <c r="K50" s="27"/>
      <c r="L50" s="27">
        <v>40</v>
      </c>
      <c r="M50" s="27">
        <v>40</v>
      </c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1">
        <f t="shared" si="17"/>
        <v>0</v>
      </c>
    </row>
    <row r="51" spans="1:30" s="31" customFormat="1" x14ac:dyDescent="0.3">
      <c r="A51" s="23" t="s">
        <v>96</v>
      </c>
      <c r="B51" s="34" t="s">
        <v>97</v>
      </c>
      <c r="C51" s="20">
        <f t="shared" si="1"/>
        <v>51</v>
      </c>
      <c r="D51" s="20">
        <f t="shared" si="1"/>
        <v>51</v>
      </c>
      <c r="E51" s="20">
        <f t="shared" si="16"/>
        <v>100</v>
      </c>
      <c r="F51" s="27"/>
      <c r="G51" s="27"/>
      <c r="H51" s="27"/>
      <c r="I51" s="27"/>
      <c r="J51" s="27"/>
      <c r="K51" s="27"/>
      <c r="L51" s="27">
        <v>51</v>
      </c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>
        <v>51</v>
      </c>
      <c r="Z51" s="27"/>
      <c r="AA51" s="27"/>
      <c r="AB51" s="27"/>
      <c r="AC51" s="27"/>
      <c r="AD51" s="21">
        <f t="shared" si="17"/>
        <v>0</v>
      </c>
    </row>
    <row r="52" spans="1:30" s="31" customFormat="1" ht="19.5" customHeight="1" x14ac:dyDescent="0.3">
      <c r="A52" s="23" t="s">
        <v>98</v>
      </c>
      <c r="B52" s="34" t="s">
        <v>99</v>
      </c>
      <c r="C52" s="20">
        <f t="shared" si="1"/>
        <v>73.099999999999994</v>
      </c>
      <c r="D52" s="20">
        <f t="shared" si="1"/>
        <v>51.9</v>
      </c>
      <c r="E52" s="20">
        <f t="shared" si="16"/>
        <v>70.998632010943908</v>
      </c>
      <c r="F52" s="27"/>
      <c r="G52" s="27"/>
      <c r="H52" s="27"/>
      <c r="I52" s="27"/>
      <c r="J52" s="27"/>
      <c r="K52" s="27"/>
      <c r="L52" s="27">
        <v>37.1</v>
      </c>
      <c r="M52" s="27"/>
      <c r="N52" s="27">
        <v>36</v>
      </c>
      <c r="O52" s="27"/>
      <c r="P52" s="27"/>
      <c r="Q52" s="27"/>
      <c r="R52" s="27"/>
      <c r="S52" s="27">
        <v>34.9</v>
      </c>
      <c r="T52" s="27"/>
      <c r="U52" s="27"/>
      <c r="V52" s="27"/>
      <c r="W52" s="27"/>
      <c r="X52" s="27"/>
      <c r="Y52" s="27"/>
      <c r="Z52" s="27"/>
      <c r="AA52" s="27"/>
      <c r="AB52" s="27"/>
      <c r="AC52" s="27">
        <v>17</v>
      </c>
      <c r="AD52" s="21">
        <f t="shared" si="17"/>
        <v>21.199999999999996</v>
      </c>
    </row>
    <row r="53" spans="1:30" s="31" customFormat="1" x14ac:dyDescent="0.3">
      <c r="A53" s="23" t="s">
        <v>100</v>
      </c>
      <c r="B53" s="34" t="s">
        <v>101</v>
      </c>
      <c r="C53" s="20">
        <f t="shared" si="1"/>
        <v>65</v>
      </c>
      <c r="D53" s="20">
        <f t="shared" si="1"/>
        <v>57.5</v>
      </c>
      <c r="E53" s="20">
        <f t="shared" si="16"/>
        <v>88.461538461538453</v>
      </c>
      <c r="F53" s="27"/>
      <c r="G53" s="27"/>
      <c r="H53" s="27"/>
      <c r="I53" s="27"/>
      <c r="J53" s="27"/>
      <c r="K53" s="27"/>
      <c r="L53" s="27">
        <v>65</v>
      </c>
      <c r="M53" s="27"/>
      <c r="N53" s="27"/>
      <c r="O53" s="27"/>
      <c r="P53" s="27"/>
      <c r="Q53" s="27"/>
      <c r="R53" s="27"/>
      <c r="S53" s="27"/>
      <c r="T53" s="27"/>
      <c r="U53" s="27">
        <v>57.5</v>
      </c>
      <c r="V53" s="27"/>
      <c r="W53" s="27"/>
      <c r="X53" s="27"/>
      <c r="Y53" s="27"/>
      <c r="Z53" s="27"/>
      <c r="AA53" s="27"/>
      <c r="AB53" s="27"/>
      <c r="AC53" s="27"/>
      <c r="AD53" s="21">
        <f t="shared" si="17"/>
        <v>7.5</v>
      </c>
    </row>
    <row r="54" spans="1:30" s="31" customFormat="1" hidden="1" x14ac:dyDescent="0.3">
      <c r="A54" s="23" t="s">
        <v>102</v>
      </c>
      <c r="B54" s="34"/>
      <c r="C54" s="20">
        <f t="shared" si="1"/>
        <v>0</v>
      </c>
      <c r="D54" s="20">
        <f t="shared" si="1"/>
        <v>0</v>
      </c>
      <c r="E54" s="20" t="e">
        <f t="shared" si="16"/>
        <v>#DIV/0!</v>
      </c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1">
        <f t="shared" si="17"/>
        <v>0</v>
      </c>
    </row>
    <row r="55" spans="1:30" s="31" customFormat="1" hidden="1" x14ac:dyDescent="0.3">
      <c r="A55" s="23" t="s">
        <v>103</v>
      </c>
      <c r="B55" s="34"/>
      <c r="C55" s="20">
        <f t="shared" si="1"/>
        <v>0</v>
      </c>
      <c r="D55" s="20">
        <f t="shared" si="1"/>
        <v>0</v>
      </c>
      <c r="E55" s="20" t="e">
        <f t="shared" si="16"/>
        <v>#DIV/0!</v>
      </c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35"/>
      <c r="X55" s="27"/>
      <c r="Y55" s="27"/>
      <c r="Z55" s="27"/>
      <c r="AA55" s="27"/>
      <c r="AB55" s="27"/>
      <c r="AC55" s="27"/>
      <c r="AD55" s="21">
        <f t="shared" si="17"/>
        <v>0</v>
      </c>
    </row>
    <row r="56" spans="1:30" s="31" customFormat="1" hidden="1" x14ac:dyDescent="0.3">
      <c r="A56" s="23" t="s">
        <v>104</v>
      </c>
      <c r="B56" s="34"/>
      <c r="C56" s="20">
        <f t="shared" ref="C56:D58" si="18">F56+H56+J56+L56+N56+P56+R56+T56+V56+X56+Z56+AB56</f>
        <v>0</v>
      </c>
      <c r="D56" s="20">
        <f t="shared" si="18"/>
        <v>0</v>
      </c>
      <c r="E56" s="20" t="e">
        <f t="shared" si="16"/>
        <v>#DIV/0!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1">
        <f t="shared" si="17"/>
        <v>0</v>
      </c>
    </row>
    <row r="57" spans="1:30" s="31" customFormat="1" hidden="1" x14ac:dyDescent="0.25">
      <c r="A57" s="23" t="s">
        <v>105</v>
      </c>
      <c r="B57" s="24"/>
      <c r="C57" s="20">
        <f t="shared" si="18"/>
        <v>0</v>
      </c>
      <c r="D57" s="20">
        <f t="shared" si="18"/>
        <v>0</v>
      </c>
      <c r="E57" s="20" t="e">
        <f t="shared" si="16"/>
        <v>#DIV/0!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1">
        <f t="shared" si="17"/>
        <v>0</v>
      </c>
    </row>
    <row r="58" spans="1:30" s="33" customFormat="1" hidden="1" x14ac:dyDescent="0.25">
      <c r="A58" s="23" t="s">
        <v>106</v>
      </c>
      <c r="B58" s="24"/>
      <c r="C58" s="20">
        <f t="shared" si="18"/>
        <v>0</v>
      </c>
      <c r="D58" s="20">
        <f t="shared" si="18"/>
        <v>0</v>
      </c>
      <c r="E58" s="20" t="e">
        <f t="shared" si="16"/>
        <v>#DIV/0!</v>
      </c>
      <c r="F58" s="27"/>
      <c r="G58" s="27"/>
      <c r="H58" s="27"/>
      <c r="I58" s="27"/>
      <c r="J58" s="36"/>
      <c r="K58" s="27"/>
      <c r="L58" s="36"/>
      <c r="M58" s="27"/>
      <c r="N58" s="36"/>
      <c r="O58" s="27"/>
      <c r="P58" s="36"/>
      <c r="Q58" s="27"/>
      <c r="R58" s="36"/>
      <c r="S58" s="27"/>
      <c r="T58" s="36"/>
      <c r="U58" s="27"/>
      <c r="V58" s="36"/>
      <c r="W58" s="27"/>
      <c r="X58" s="27"/>
      <c r="Y58" s="27"/>
      <c r="Z58" s="27"/>
      <c r="AA58" s="27"/>
      <c r="AB58" s="27"/>
      <c r="AC58" s="27"/>
      <c r="AD58" s="21">
        <f t="shared" si="17"/>
        <v>0</v>
      </c>
    </row>
    <row r="59" spans="1:30" s="33" customFormat="1" ht="29.25" customHeight="1" x14ac:dyDescent="0.25">
      <c r="A59" s="14"/>
      <c r="B59" s="15" t="s">
        <v>107</v>
      </c>
      <c r="C59" s="16">
        <f>F59+H59+J59+L59+N59+P59+R59+T59+V59+X59+Z59+AB59</f>
        <v>44551.9</v>
      </c>
      <c r="D59" s="16">
        <f>G59+I59+K59+M59+O59+Q59+S59+U59+W59+Y59+AA59+AC59</f>
        <v>44346.399999999994</v>
      </c>
      <c r="E59" s="16">
        <f>D59/C59%</f>
        <v>99.538740210855195</v>
      </c>
      <c r="F59" s="16">
        <f t="shared" ref="F59:AC59" si="19">F47+F7</f>
        <v>3968.7000000000003</v>
      </c>
      <c r="G59" s="16">
        <f t="shared" si="19"/>
        <v>1735.4999999999998</v>
      </c>
      <c r="H59" s="16">
        <f t="shared" si="19"/>
        <v>2633</v>
      </c>
      <c r="I59" s="16">
        <f t="shared" si="19"/>
        <v>4276.7</v>
      </c>
      <c r="J59" s="16">
        <f t="shared" si="19"/>
        <v>3579.8</v>
      </c>
      <c r="K59" s="16">
        <f t="shared" si="19"/>
        <v>2859.0999999999995</v>
      </c>
      <c r="L59" s="16">
        <f t="shared" si="19"/>
        <v>4927.2000000000007</v>
      </c>
      <c r="M59" s="16">
        <f t="shared" si="19"/>
        <v>4180.5</v>
      </c>
      <c r="N59" s="16">
        <f t="shared" si="19"/>
        <v>3949.7000000000003</v>
      </c>
      <c r="O59" s="16">
        <f t="shared" si="19"/>
        <v>2854.2999999999997</v>
      </c>
      <c r="P59" s="16">
        <f t="shared" si="19"/>
        <v>3322.6</v>
      </c>
      <c r="Q59" s="16">
        <f t="shared" si="19"/>
        <v>3354.6</v>
      </c>
      <c r="R59" s="16">
        <f t="shared" si="19"/>
        <v>3988.1</v>
      </c>
      <c r="S59" s="16">
        <f t="shared" si="19"/>
        <v>3722.9</v>
      </c>
      <c r="T59" s="16">
        <f t="shared" si="19"/>
        <v>3530.2000000000003</v>
      </c>
      <c r="U59" s="16">
        <f t="shared" si="19"/>
        <v>3803.3</v>
      </c>
      <c r="V59" s="16">
        <f t="shared" si="19"/>
        <v>4019.7000000000003</v>
      </c>
      <c r="W59" s="16">
        <f t="shared" si="19"/>
        <v>3312.9000000000005</v>
      </c>
      <c r="X59" s="16">
        <f t="shared" si="19"/>
        <v>3427.8999999999996</v>
      </c>
      <c r="Y59" s="16">
        <f t="shared" si="19"/>
        <v>4393.2</v>
      </c>
      <c r="Z59" s="16">
        <f t="shared" si="19"/>
        <v>3619.5</v>
      </c>
      <c r="AA59" s="16">
        <f t="shared" si="19"/>
        <v>4433.6000000000004</v>
      </c>
      <c r="AB59" s="16">
        <f t="shared" si="19"/>
        <v>3585.5</v>
      </c>
      <c r="AC59" s="16">
        <f t="shared" si="19"/>
        <v>5419.7999999999993</v>
      </c>
      <c r="AD59" s="16">
        <f>AD47+AD7</f>
        <v>205.50000000000296</v>
      </c>
    </row>
    <row r="60" spans="1:30" x14ac:dyDescent="0.3">
      <c r="A60" s="37" t="s">
        <v>108</v>
      </c>
      <c r="B60" s="38"/>
      <c r="C60" s="38"/>
      <c r="D60" s="38"/>
      <c r="E60" s="39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40" t="s">
        <v>109</v>
      </c>
    </row>
    <row r="61" spans="1:30" x14ac:dyDescent="0.3">
      <c r="A61" s="37" t="s">
        <v>110</v>
      </c>
      <c r="B61" s="41"/>
      <c r="C61" s="41"/>
      <c r="D61" s="41"/>
      <c r="E61" s="41"/>
      <c r="F61" s="41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40" t="s">
        <v>111</v>
      </c>
    </row>
    <row r="62" spans="1:30" ht="12.75" x14ac:dyDescent="0.2">
      <c r="A62" s="3"/>
      <c r="AD62" s="3"/>
    </row>
    <row r="64" spans="1:30" x14ac:dyDescent="0.3">
      <c r="D64" s="43"/>
    </row>
  </sheetData>
  <mergeCells count="21">
    <mergeCell ref="T5:U5"/>
    <mergeCell ref="V5:W5"/>
    <mergeCell ref="X5:Y5"/>
    <mergeCell ref="Z5:AA5"/>
    <mergeCell ref="AB5:AC5"/>
    <mergeCell ref="H5:I5"/>
    <mergeCell ref="J5:K5"/>
    <mergeCell ref="L5:M5"/>
    <mergeCell ref="N5:O5"/>
    <mergeCell ref="P5:Q5"/>
    <mergeCell ref="R5:S5"/>
    <mergeCell ref="A1:AD1"/>
    <mergeCell ref="AE1:AP1"/>
    <mergeCell ref="A2:AD2"/>
    <mergeCell ref="A3:AD3"/>
    <mergeCell ref="A4:A6"/>
    <mergeCell ref="B4:B6"/>
    <mergeCell ref="C4:E5"/>
    <mergeCell ref="F4:AC4"/>
    <mergeCell ref="AD4:AD6"/>
    <mergeCell ref="F5:G5"/>
  </mergeCells>
  <pageMargins left="0.28000000000000003" right="0.16" top="0.24" bottom="0.17812500000000001" header="0.16" footer="0.16"/>
  <pageSetup paperSize="9" scale="3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12міс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2021-01-18T12:20:48Z</dcterms:created>
  <dcterms:modified xsi:type="dcterms:W3CDTF">2021-01-18T12:21:14Z</dcterms:modified>
</cp:coreProperties>
</file>