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50" activeTab="0"/>
  </bookViews>
  <sheets>
    <sheet name="КЕКВ" sheetId="1" r:id="rId1"/>
    <sheet name="КПК" sheetId="2" r:id="rId2"/>
  </sheets>
  <definedNames>
    <definedName name="_xlnm.Print_Area" localSheetId="0">'КЕКВ'!$A$1:$H$34</definedName>
  </definedNames>
  <calcPr fullCalcOnLoad="1"/>
</workbook>
</file>

<file path=xl/sharedStrings.xml><?xml version="1.0" encoding="utf-8"?>
<sst xmlns="http://schemas.openxmlformats.org/spreadsheetml/2006/main" count="80" uniqueCount="73">
  <si>
    <t>Державне управління</t>
  </si>
  <si>
    <t>Освіта</t>
  </si>
  <si>
    <t>Культура і мистецтво</t>
  </si>
  <si>
    <t>Будівництво</t>
  </si>
  <si>
    <t>Заробітна плата</t>
  </si>
  <si>
    <t>Предмети, матеріали, обладнання та інвентар</t>
  </si>
  <si>
    <t>Продукти харчування</t>
  </si>
  <si>
    <t>Оплата теплопостачання</t>
  </si>
  <si>
    <t>Оплата електроенергії</t>
  </si>
  <si>
    <t>Оплата  природного газу</t>
  </si>
  <si>
    <t>Нерозподілені видатки</t>
  </si>
  <si>
    <t>РАЗОМ</t>
  </si>
  <si>
    <t>тис.грн.</t>
  </si>
  <si>
    <t>тис. грн.</t>
  </si>
  <si>
    <t>Видатки на відрядження</t>
  </si>
  <si>
    <t>Обслуговування зовнішніх боргових зобов"язань</t>
  </si>
  <si>
    <t>Оплата послуг (крім комунальних)</t>
  </si>
  <si>
    <t>Код економічної класифікації видатків</t>
  </si>
  <si>
    <t>загальний фонд</t>
  </si>
  <si>
    <t>Відсоток виконання, %</t>
  </si>
  <si>
    <t>Нарахування на оплату праці</t>
  </si>
  <si>
    <t>Використання товарів і послуг</t>
  </si>
  <si>
    <t>Медикаменти та перев"язувальні матеріали</t>
  </si>
  <si>
    <t>Оплата комунальних послуг та енергоносіїв</t>
  </si>
  <si>
    <t>Оплата водопостачання  та водовідведення</t>
  </si>
  <si>
    <t>Оплата інших  енергоносіїв</t>
  </si>
  <si>
    <t>Дослідження і розробки, окремі заходи по реалізації державних (регіональних програм)</t>
  </si>
  <si>
    <t>Поточні трансферти</t>
  </si>
  <si>
    <t>Субсидії та поточні трансферти підприємствам (установам, організаціям)</t>
  </si>
  <si>
    <t xml:space="preserve">Інші виплати населенню </t>
  </si>
  <si>
    <t>Інші поточні видатки</t>
  </si>
  <si>
    <t>Поточні трансферти органам державного управління інших рівнів</t>
  </si>
  <si>
    <t>Фізична культура і спорт</t>
  </si>
  <si>
    <t>Найменування</t>
  </si>
  <si>
    <t>Порівняльний аналіз виконання видаткової частини міського бюжету м. Павлоград</t>
  </si>
  <si>
    <t>за економічною класифікацією видатків</t>
  </si>
  <si>
    <t xml:space="preserve">Всього </t>
  </si>
  <si>
    <t>Виплата пенсій і допомоги</t>
  </si>
  <si>
    <t>КТКВКМБ</t>
  </si>
  <si>
    <t>0100</t>
  </si>
  <si>
    <t>Охорона здоров"я</t>
  </si>
  <si>
    <t xml:space="preserve">Соціальний захист та соціальне забезпечення </t>
  </si>
  <si>
    <t>Житлово- комунальне господарство</t>
  </si>
  <si>
    <t>8600</t>
  </si>
  <si>
    <t>7300</t>
  </si>
  <si>
    <t>8100</t>
  </si>
  <si>
    <t xml:space="preserve">Захист населення і територій від надзвичайних ситуацій техногенного та природного характеру </t>
  </si>
  <si>
    <t>Громадський порядок та безпека</t>
  </si>
  <si>
    <t>8400</t>
  </si>
  <si>
    <t>Засоби масової інформації</t>
  </si>
  <si>
    <t>7600</t>
  </si>
  <si>
    <t>7400</t>
  </si>
  <si>
    <t>Транспорт та транспортна інфраструктура, дорожнє господарство</t>
  </si>
  <si>
    <t xml:space="preserve">Інші програми та заходи, пов`язані з економічною діяльністю </t>
  </si>
  <si>
    <t>Сільське, лісове, рибне господарство та мисливство</t>
  </si>
  <si>
    <t>7100</t>
  </si>
  <si>
    <t>9000</t>
  </si>
  <si>
    <t>Інші субвенції з місцевого бюджету</t>
  </si>
  <si>
    <t>за тимчасовою програмною класифікацією видатків та кредитування місцевих бюджетів</t>
  </si>
  <si>
    <t>8700</t>
  </si>
  <si>
    <t>Резервний фонд</t>
  </si>
  <si>
    <t>Виконано за 2019рік</t>
  </si>
  <si>
    <t>за  2019та  2020 роки</t>
  </si>
  <si>
    <t>Уточнений план на 2020 рік</t>
  </si>
  <si>
    <t>Виконано за 2020 рік</t>
  </si>
  <si>
    <t>8300</t>
  </si>
  <si>
    <t>Охорона навколишньго природного середовища</t>
  </si>
  <si>
    <t>Уточнений план на  2020 рік</t>
  </si>
  <si>
    <t>Виконано за 2020рік</t>
  </si>
  <si>
    <t>за 2019та 2020роки</t>
  </si>
  <si>
    <t>Обслуговування  боргових зобов"язань</t>
  </si>
  <si>
    <t>Обслуговування боргу</t>
  </si>
  <si>
    <t>Відхилення видатків  2020 до видатків 2019 року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</si>
</sst>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"/>
    <numFmt numFmtId="190" formatCode="0.000"/>
    <numFmt numFmtId="191" formatCode="0.000000"/>
    <numFmt numFmtId="192" formatCode="0.00000"/>
    <numFmt numFmtId="193" formatCode="_-* #,##0.0\ _г_р_н_._-;\-* #,##0.0\ _г_р_н_._-;_-* &quot;-&quot;??\ _г_р_н_._-;_-@_-"/>
    <numFmt numFmtId="194" formatCode="_-* #,##0.0\ _г_р_н_._-;\-* #,##0.0\ _г_р_н_._-;_-* &quot;-&quot;?\ _г_р_н_._-;_-@_-"/>
    <numFmt numFmtId="195" formatCode="0.00000000"/>
    <numFmt numFmtId="196" formatCode="0.0000000"/>
    <numFmt numFmtId="197" formatCode="#0.0"/>
    <numFmt numFmtId="198" formatCode="#,##0.0"/>
  </numFmts>
  <fonts count="46">
    <font>
      <sz val="10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8"/>
      <name val="Times New Roman"/>
      <family val="1"/>
    </font>
    <font>
      <i/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center"/>
    </xf>
    <xf numFmtId="0" fontId="3" fillId="0" borderId="10" xfId="0" applyFont="1" applyFill="1" applyBorder="1" applyAlignment="1">
      <alignment horizontal="justify" vertic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justify" vertical="center"/>
    </xf>
    <xf numFmtId="188" fontId="2" fillId="0" borderId="0" xfId="0" applyNumberFormat="1" applyFont="1" applyFill="1" applyAlignment="1">
      <alignment/>
    </xf>
    <xf numFmtId="188" fontId="0" fillId="0" borderId="0" xfId="0" applyNumberFormat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justify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Border="1" applyAlignment="1">
      <alignment horizontal="justify" vertical="center"/>
    </xf>
    <xf numFmtId="0" fontId="8" fillId="0" borderId="10" xfId="0" applyFont="1" applyFill="1" applyBorder="1" applyAlignment="1">
      <alignment horizontal="justify" vertical="center"/>
    </xf>
    <xf numFmtId="188" fontId="8" fillId="0" borderId="0" xfId="0" applyNumberFormat="1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>
      <alignment horizontal="justify" vertical="center"/>
    </xf>
    <xf numFmtId="0" fontId="7" fillId="33" borderId="10" xfId="0" applyFont="1" applyFill="1" applyBorder="1" applyAlignment="1">
      <alignment horizontal="justify" vertical="center"/>
    </xf>
    <xf numFmtId="188" fontId="8" fillId="0" borderId="0" xfId="0" applyNumberFormat="1" applyFont="1" applyFill="1" applyAlignment="1">
      <alignment/>
    </xf>
    <xf numFmtId="198" fontId="8" fillId="0" borderId="0" xfId="0" applyNumberFormat="1" applyFont="1" applyFill="1" applyAlignment="1">
      <alignment/>
    </xf>
    <xf numFmtId="3" fontId="8" fillId="33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4"/>
  <sheetViews>
    <sheetView tabSelected="1" zoomScale="77" zoomScaleNormal="77" zoomScalePageLayoutView="0" workbookViewId="0" topLeftCell="B16">
      <selection activeCell="E10" sqref="E10"/>
    </sheetView>
  </sheetViews>
  <sheetFormatPr defaultColWidth="9.00390625" defaultRowHeight="12.75"/>
  <cols>
    <col min="1" max="1" width="9.125" style="0" hidden="1" customWidth="1"/>
    <col min="2" max="2" width="52.875" style="0" customWidth="1"/>
    <col min="3" max="3" width="14.125" style="0" customWidth="1"/>
    <col min="4" max="4" width="16.25390625" style="21" customWidth="1"/>
    <col min="5" max="5" width="20.625" style="0" customWidth="1"/>
    <col min="6" max="6" width="19.75390625" style="0" customWidth="1"/>
    <col min="7" max="7" width="13.875" style="0" customWidth="1"/>
    <col min="8" max="8" width="25.625" style="0" customWidth="1"/>
    <col min="9" max="9" width="11.75390625" style="0" customWidth="1"/>
  </cols>
  <sheetData>
    <row r="1" spans="2:8" ht="18.75">
      <c r="B1" s="5"/>
      <c r="C1" s="5"/>
      <c r="D1" s="19"/>
      <c r="E1" s="5"/>
      <c r="F1" s="5"/>
      <c r="G1" s="5"/>
      <c r="H1" s="7">
        <v>3</v>
      </c>
    </row>
    <row r="2" spans="2:8" ht="18.75">
      <c r="B2" s="49" t="s">
        <v>34</v>
      </c>
      <c r="C2" s="49"/>
      <c r="D2" s="49"/>
      <c r="E2" s="49"/>
      <c r="F2" s="49"/>
      <c r="G2" s="49"/>
      <c r="H2" s="49"/>
    </row>
    <row r="3" spans="2:8" ht="18.75">
      <c r="B3" s="49" t="s">
        <v>35</v>
      </c>
      <c r="C3" s="49"/>
      <c r="D3" s="49"/>
      <c r="E3" s="49"/>
      <c r="F3" s="49"/>
      <c r="G3" s="49"/>
      <c r="H3" s="49"/>
    </row>
    <row r="4" spans="2:8" ht="18.75">
      <c r="B4" s="49" t="s">
        <v>69</v>
      </c>
      <c r="C4" s="49"/>
      <c r="D4" s="49"/>
      <c r="E4" s="49"/>
      <c r="F4" s="49"/>
      <c r="G4" s="49"/>
      <c r="H4" s="49"/>
    </row>
    <row r="5" spans="2:8" ht="18.75">
      <c r="B5" s="49" t="s">
        <v>18</v>
      </c>
      <c r="C5" s="49"/>
      <c r="D5" s="49"/>
      <c r="E5" s="49"/>
      <c r="F5" s="49"/>
      <c r="G5" s="49"/>
      <c r="H5" s="49"/>
    </row>
    <row r="6" spans="2:8" ht="18.75">
      <c r="B6" s="5"/>
      <c r="C6" s="5"/>
      <c r="D6" s="19"/>
      <c r="E6" s="5"/>
      <c r="F6" s="5"/>
      <c r="G6" s="5"/>
      <c r="H6" s="47" t="s">
        <v>12</v>
      </c>
    </row>
    <row r="7" spans="2:8" s="4" customFormat="1" ht="104.25" customHeight="1">
      <c r="B7" s="12" t="s">
        <v>33</v>
      </c>
      <c r="C7" s="9" t="s">
        <v>17</v>
      </c>
      <c r="D7" s="18" t="s">
        <v>61</v>
      </c>
      <c r="E7" s="9" t="s">
        <v>67</v>
      </c>
      <c r="F7" s="22" t="s">
        <v>68</v>
      </c>
      <c r="G7" s="9" t="s">
        <v>19</v>
      </c>
      <c r="H7" s="10" t="s">
        <v>72</v>
      </c>
    </row>
    <row r="8" spans="2:8" ht="20.25">
      <c r="B8" s="10" t="s">
        <v>4</v>
      </c>
      <c r="C8" s="11">
        <v>2111</v>
      </c>
      <c r="D8" s="40">
        <f>282046.77567+92084.48941</f>
        <v>374131.26508</v>
      </c>
      <c r="E8" s="41">
        <f>332517.71644+38347.57068</f>
        <v>370865.28712</v>
      </c>
      <c r="F8" s="42">
        <f>323675.34591+36892.86991</f>
        <v>360568.21582</v>
      </c>
      <c r="G8" s="43">
        <f aca="true" t="shared" si="0" ref="G8:G28">F8/E8*100</f>
        <v>97.22350091593549</v>
      </c>
      <c r="H8" s="43">
        <f>F8-D8</f>
        <v>-13563.04926</v>
      </c>
    </row>
    <row r="9" spans="2:8" ht="20.25">
      <c r="B9" s="10" t="s">
        <v>20</v>
      </c>
      <c r="C9" s="11">
        <v>2120</v>
      </c>
      <c r="D9" s="40">
        <f>62308.08322+20231.63167</f>
        <v>82539.71489</v>
      </c>
      <c r="E9" s="41">
        <f>74928.74959+8309.35167</f>
        <v>83238.10126000001</v>
      </c>
      <c r="F9" s="42">
        <f>72682.20846+7997.3531</f>
        <v>80679.56156</v>
      </c>
      <c r="G9" s="43">
        <f t="shared" si="0"/>
        <v>96.9262397132195</v>
      </c>
      <c r="H9" s="43">
        <f aca="true" t="shared" si="1" ref="H9:H33">F9-D9</f>
        <v>-1860.153330000001</v>
      </c>
    </row>
    <row r="10" spans="2:9" ht="20.25">
      <c r="B10" s="10" t="s">
        <v>21</v>
      </c>
      <c r="C10" s="11">
        <v>2200</v>
      </c>
      <c r="D10" s="44">
        <f>D11+D12+D13+D14+D15+D16+D22</f>
        <v>115371.51331000001</v>
      </c>
      <c r="E10" s="45">
        <f>E11+E12+E13+E14+E15+E16+E22</f>
        <v>114221.65465999999</v>
      </c>
      <c r="F10" s="44">
        <f>F11+F12+F13+F14+F15+F16+F22</f>
        <v>107410.60733999999</v>
      </c>
      <c r="G10" s="43">
        <f t="shared" si="0"/>
        <v>94.03699119902068</v>
      </c>
      <c r="H10" s="43">
        <f t="shared" si="1"/>
        <v>-7960.905970000022</v>
      </c>
      <c r="I10" s="24"/>
    </row>
    <row r="11" spans="2:11" ht="40.5">
      <c r="B11" s="17" t="s">
        <v>5</v>
      </c>
      <c r="C11" s="16">
        <v>2210</v>
      </c>
      <c r="D11" s="40">
        <f>9859.14115+2679.1279</f>
        <v>12538.269049999999</v>
      </c>
      <c r="E11" s="42">
        <f>13227.00915+2479.19415</f>
        <v>15706.2033</v>
      </c>
      <c r="F11" s="42">
        <f>13064.11367+2419.88899</f>
        <v>15484.00266</v>
      </c>
      <c r="G11" s="42">
        <f t="shared" si="0"/>
        <v>98.58526828059077</v>
      </c>
      <c r="H11" s="43">
        <f t="shared" si="1"/>
        <v>2945.733610000001</v>
      </c>
      <c r="J11" s="24"/>
      <c r="K11" s="24"/>
    </row>
    <row r="12" spans="2:8" ht="40.5">
      <c r="B12" s="17" t="s">
        <v>22</v>
      </c>
      <c r="C12" s="16">
        <v>2220</v>
      </c>
      <c r="D12" s="40">
        <f>311.07744+8675.54149</f>
        <v>8986.61893</v>
      </c>
      <c r="E12" s="42">
        <f>2786.92355+9509.89342</f>
        <v>12296.81697</v>
      </c>
      <c r="F12" s="42">
        <f>2780.58652+9451.32267</f>
        <v>12231.909189999998</v>
      </c>
      <c r="G12" s="42">
        <f t="shared" si="0"/>
        <v>99.4721578750147</v>
      </c>
      <c r="H12" s="43">
        <f t="shared" si="1"/>
        <v>3245.290259999998</v>
      </c>
    </row>
    <row r="13" spans="2:8" ht="20.25">
      <c r="B13" s="17" t="s">
        <v>6</v>
      </c>
      <c r="C13" s="16">
        <v>2230</v>
      </c>
      <c r="D13" s="40">
        <f>9842.01859+1339.30449</f>
        <v>11181.32308</v>
      </c>
      <c r="E13" s="42">
        <f>8664.18017+830.53596</f>
        <v>9494.716129999999</v>
      </c>
      <c r="F13" s="42">
        <f>7207.55305+827.03461</f>
        <v>8034.58766</v>
      </c>
      <c r="G13" s="42">
        <f t="shared" si="0"/>
        <v>84.62167325480642</v>
      </c>
      <c r="H13" s="43">
        <f t="shared" si="1"/>
        <v>-3146.73542</v>
      </c>
    </row>
    <row r="14" spans="2:8" ht="20.25">
      <c r="B14" s="17" t="s">
        <v>16</v>
      </c>
      <c r="C14" s="16">
        <v>2240</v>
      </c>
      <c r="D14" s="40">
        <f>35059.33613+1569.2488</f>
        <v>36628.584930000005</v>
      </c>
      <c r="E14" s="42">
        <f>29037.06117+2592.95595-461</f>
        <v>31169.01712</v>
      </c>
      <c r="F14" s="42">
        <f>27297.52677+2201.70495-321</f>
        <v>29178.23172</v>
      </c>
      <c r="G14" s="42">
        <f t="shared" si="0"/>
        <v>93.61293494647097</v>
      </c>
      <c r="H14" s="43">
        <f t="shared" si="1"/>
        <v>-7450.353210000005</v>
      </c>
    </row>
    <row r="15" spans="2:8" s="8" customFormat="1" ht="22.5" customHeight="1">
      <c r="B15" s="17" t="s">
        <v>14</v>
      </c>
      <c r="C15" s="16">
        <v>2250</v>
      </c>
      <c r="D15" s="40">
        <f>612.44294+45.28744</f>
        <v>657.73038</v>
      </c>
      <c r="E15" s="42">
        <f>427.803+4.43876</f>
        <v>432.24176</v>
      </c>
      <c r="F15" s="42">
        <f>287.97472+4.43876</f>
        <v>292.41348</v>
      </c>
      <c r="G15" s="42">
        <f t="shared" si="0"/>
        <v>67.65044636131408</v>
      </c>
      <c r="H15" s="43">
        <f t="shared" si="1"/>
        <v>-365.3169</v>
      </c>
    </row>
    <row r="16" spans="2:8" ht="40.5">
      <c r="B16" s="10" t="s">
        <v>23</v>
      </c>
      <c r="C16" s="11">
        <v>2270</v>
      </c>
      <c r="D16" s="44">
        <f>D17+D18+D19+D20+D21</f>
        <v>44647.0382</v>
      </c>
      <c r="E16" s="43">
        <f>E17+E18+E19+E20+E21</f>
        <v>41987.63838</v>
      </c>
      <c r="F16" s="44">
        <f>F17+F18+F19+F20+F21</f>
        <v>39198.55938</v>
      </c>
      <c r="G16" s="43">
        <f t="shared" si="0"/>
        <v>93.35738063008439</v>
      </c>
      <c r="H16" s="43">
        <f t="shared" si="1"/>
        <v>-5448.478820000004</v>
      </c>
    </row>
    <row r="17" spans="2:8" ht="20.25">
      <c r="B17" s="17" t="s">
        <v>7</v>
      </c>
      <c r="C17" s="16">
        <v>2271</v>
      </c>
      <c r="D17" s="40">
        <f>18886.46344+4992.83242</f>
        <v>23879.29586</v>
      </c>
      <c r="E17" s="42">
        <f>18551.97271+5016.24226</f>
        <v>23568.214969999997</v>
      </c>
      <c r="F17" s="42">
        <f>17970.01167+4983.89319</f>
        <v>22953.90486</v>
      </c>
      <c r="G17" s="42">
        <f t="shared" si="0"/>
        <v>97.39348053816569</v>
      </c>
      <c r="H17" s="43">
        <f t="shared" si="1"/>
        <v>-925.3909999999996</v>
      </c>
    </row>
    <row r="18" spans="2:8" ht="40.5">
      <c r="B18" s="17" t="s">
        <v>24</v>
      </c>
      <c r="C18" s="16">
        <v>2272</v>
      </c>
      <c r="D18" s="40">
        <f>1680.57305+1212.64344</f>
        <v>2893.21649</v>
      </c>
      <c r="E18" s="42">
        <f>1801.92118+1382.551</f>
        <v>3184.4721799999998</v>
      </c>
      <c r="F18" s="42">
        <f>1556.57594+1329.04617</f>
        <v>2885.6221100000002</v>
      </c>
      <c r="G18" s="42">
        <f t="shared" si="0"/>
        <v>90.61539705459134</v>
      </c>
      <c r="H18" s="43">
        <f t="shared" si="1"/>
        <v>-7.594379999999546</v>
      </c>
    </row>
    <row r="19" spans="2:8" ht="20.25">
      <c r="B19" s="17" t="s">
        <v>8</v>
      </c>
      <c r="C19" s="16">
        <v>2273</v>
      </c>
      <c r="D19" s="40">
        <f>7520.61279+4539.98147</f>
        <v>12060.59426</v>
      </c>
      <c r="E19" s="42">
        <f>7153.607+4909.984</f>
        <v>12063.591</v>
      </c>
      <c r="F19" s="42">
        <f>5671.66921+4643.91348</f>
        <v>10315.58269</v>
      </c>
      <c r="G19" s="42">
        <f t="shared" si="0"/>
        <v>85.5100499511298</v>
      </c>
      <c r="H19" s="43">
        <f t="shared" si="1"/>
        <v>-1745.0115700000006</v>
      </c>
    </row>
    <row r="20" spans="2:8" ht="20.25">
      <c r="B20" s="17" t="s">
        <v>9</v>
      </c>
      <c r="C20" s="16">
        <v>2274</v>
      </c>
      <c r="D20" s="40">
        <f>2437.48468+3108.52726</f>
        <v>5546.01194</v>
      </c>
      <c r="E20" s="42">
        <f>1187.95029+1495.20994</f>
        <v>2683.16023</v>
      </c>
      <c r="F20" s="42">
        <f>1154.84178+1495.12494</f>
        <v>2649.96672</v>
      </c>
      <c r="G20" s="42">
        <f t="shared" si="0"/>
        <v>98.76289497627207</v>
      </c>
      <c r="H20" s="43">
        <f t="shared" si="1"/>
        <v>-2896.0452200000004</v>
      </c>
    </row>
    <row r="21" spans="2:8" ht="20.25">
      <c r="B21" s="17" t="s">
        <v>25</v>
      </c>
      <c r="C21" s="16">
        <v>2275</v>
      </c>
      <c r="D21" s="40">
        <f>267.91965</f>
        <v>267.91965</v>
      </c>
      <c r="E21" s="42">
        <f>488.2</f>
        <v>488.2</v>
      </c>
      <c r="F21" s="42">
        <f>393.483</f>
        <v>393.483</v>
      </c>
      <c r="G21" s="40">
        <v>0</v>
      </c>
      <c r="H21" s="43">
        <f t="shared" si="1"/>
        <v>125.56335000000001</v>
      </c>
    </row>
    <row r="22" spans="2:8" ht="63" customHeight="1">
      <c r="B22" s="10" t="s">
        <v>26</v>
      </c>
      <c r="C22" s="11">
        <v>2280</v>
      </c>
      <c r="D22" s="40">
        <f>128139.25006+28.108-127435.40932</f>
        <v>731.9487399999925</v>
      </c>
      <c r="E22" s="42">
        <f>3135.021</f>
        <v>3135.021</v>
      </c>
      <c r="F22" s="42">
        <f>2990.90325</f>
        <v>2990.90325</v>
      </c>
      <c r="G22" s="43">
        <f t="shared" si="0"/>
        <v>95.40297337721182</v>
      </c>
      <c r="H22" s="43">
        <f t="shared" si="1"/>
        <v>2258.9545100000073</v>
      </c>
    </row>
    <row r="23" spans="2:8" ht="40.5" hidden="1">
      <c r="B23" s="10" t="s">
        <v>15</v>
      </c>
      <c r="C23" s="11">
        <v>2420</v>
      </c>
      <c r="D23" s="44"/>
      <c r="E23" s="45"/>
      <c r="F23" s="44"/>
      <c r="G23" s="43"/>
      <c r="H23" s="43">
        <f t="shared" si="1"/>
        <v>0</v>
      </c>
    </row>
    <row r="24" spans="2:8" ht="20.25">
      <c r="B24" s="17" t="s">
        <v>70</v>
      </c>
      <c r="C24" s="11">
        <v>2400</v>
      </c>
      <c r="D24" s="44"/>
      <c r="E24" s="42">
        <v>420</v>
      </c>
      <c r="F24" s="42">
        <f>405.09835</f>
        <v>405.09835</v>
      </c>
      <c r="G24" s="43"/>
      <c r="H24" s="43"/>
    </row>
    <row r="25" spans="2:8" ht="20.25">
      <c r="B25" s="10" t="s">
        <v>27</v>
      </c>
      <c r="C25" s="11">
        <v>2600</v>
      </c>
      <c r="D25" s="44">
        <f>D26+D27</f>
        <v>68905.84241</v>
      </c>
      <c r="E25" s="43">
        <f>E26+E27</f>
        <v>77250.29791000001</v>
      </c>
      <c r="F25" s="44">
        <f>F26+F27</f>
        <v>76364.32956</v>
      </c>
      <c r="G25" s="43">
        <f t="shared" si="0"/>
        <v>98.85311982740545</v>
      </c>
      <c r="H25" s="43">
        <f t="shared" si="1"/>
        <v>7458.487150000001</v>
      </c>
    </row>
    <row r="26" spans="2:8" ht="60.75">
      <c r="B26" s="17" t="s">
        <v>28</v>
      </c>
      <c r="C26" s="34">
        <v>2610</v>
      </c>
      <c r="D26" s="46">
        <f>87920.35422-19735.61176</f>
        <v>68184.74246</v>
      </c>
      <c r="E26" s="42">
        <f>154315.55178-83522.62816+461+5891.17429</f>
        <v>77145.09791000001</v>
      </c>
      <c r="F26" s="42">
        <f>150905.95738-80858.97504+321+5891.14722</f>
        <v>76259.12956</v>
      </c>
      <c r="G26" s="42">
        <f t="shared" si="0"/>
        <v>98.85155586809468</v>
      </c>
      <c r="H26" s="43">
        <f t="shared" si="1"/>
        <v>8074.387100000007</v>
      </c>
    </row>
    <row r="27" spans="2:8" ht="49.5" customHeight="1">
      <c r="B27" s="17" t="s">
        <v>31</v>
      </c>
      <c r="C27" s="16">
        <v>2620</v>
      </c>
      <c r="D27" s="46">
        <v>721.09995</v>
      </c>
      <c r="E27" s="42">
        <f>105.2</f>
        <v>105.2</v>
      </c>
      <c r="F27" s="42">
        <f>105.2</f>
        <v>105.2</v>
      </c>
      <c r="G27" s="42">
        <f t="shared" si="0"/>
        <v>100</v>
      </c>
      <c r="H27" s="43">
        <f t="shared" si="1"/>
        <v>-615.89995</v>
      </c>
    </row>
    <row r="28" spans="2:8" ht="23.25" customHeight="1">
      <c r="B28" s="10" t="s">
        <v>37</v>
      </c>
      <c r="C28" s="11">
        <v>2710</v>
      </c>
      <c r="D28" s="40">
        <v>776.0306</v>
      </c>
      <c r="E28" s="42">
        <v>730.34016</v>
      </c>
      <c r="F28" s="42">
        <v>726.40894</v>
      </c>
      <c r="G28" s="43">
        <f t="shared" si="0"/>
        <v>99.46172753255141</v>
      </c>
      <c r="H28" s="43">
        <f t="shared" si="1"/>
        <v>-49.62166000000002</v>
      </c>
    </row>
    <row r="29" spans="2:8" ht="20.25">
      <c r="B29" s="10" t="s">
        <v>29</v>
      </c>
      <c r="C29" s="11">
        <v>2730</v>
      </c>
      <c r="D29" s="46">
        <f>190197.72432+7371.44585-1486.13238</f>
        <v>196083.03779</v>
      </c>
      <c r="E29" s="42">
        <f>18561.24404+7908.32429-5891.17429</f>
        <v>20578.394040000003</v>
      </c>
      <c r="F29" s="42">
        <f>18351.86113+7879.93941-5891.14722</f>
        <v>20340.65332</v>
      </c>
      <c r="G29" s="43">
        <f>F29/E29*100</f>
        <v>98.84470712564894</v>
      </c>
      <c r="H29" s="43">
        <f t="shared" si="1"/>
        <v>-175742.38447</v>
      </c>
    </row>
    <row r="30" spans="2:8" ht="24" customHeight="1">
      <c r="B30" s="10" t="s">
        <v>30</v>
      </c>
      <c r="C30" s="11">
        <v>2800</v>
      </c>
      <c r="D30" s="40">
        <f>238.86701+2.95322</f>
        <v>241.82022999999998</v>
      </c>
      <c r="E30" s="42">
        <f>502.694+6.03592</f>
        <v>508.72992</v>
      </c>
      <c r="F30" s="42">
        <f>464.55035+6.03592</f>
        <v>470.58626999999996</v>
      </c>
      <c r="G30" s="43">
        <f>F30/E30*100</f>
        <v>92.5021807248923</v>
      </c>
      <c r="H30" s="43">
        <f t="shared" si="1"/>
        <v>228.76603999999998</v>
      </c>
    </row>
    <row r="31" spans="2:8" ht="27.75" customHeight="1" hidden="1">
      <c r="B31" s="10" t="s">
        <v>10</v>
      </c>
      <c r="C31" s="11">
        <v>9000</v>
      </c>
      <c r="D31" s="44"/>
      <c r="E31" s="43"/>
      <c r="F31" s="44"/>
      <c r="G31" s="44">
        <v>0</v>
      </c>
      <c r="H31" s="43">
        <f t="shared" si="1"/>
        <v>0</v>
      </c>
    </row>
    <row r="32" spans="2:8" ht="27.75" customHeight="1">
      <c r="B32" s="10" t="s">
        <v>10</v>
      </c>
      <c r="C32" s="11">
        <v>9000</v>
      </c>
      <c r="D32" s="46"/>
      <c r="E32" s="42">
        <f>869.778</f>
        <v>869.778</v>
      </c>
      <c r="F32" s="46"/>
      <c r="G32" s="43"/>
      <c r="H32" s="43">
        <f t="shared" si="1"/>
        <v>0</v>
      </c>
    </row>
    <row r="33" spans="2:9" ht="19.5" customHeight="1">
      <c r="B33" s="10" t="s">
        <v>11</v>
      </c>
      <c r="C33" s="11"/>
      <c r="D33" s="45">
        <f>D8+D9+D10+D23+D25+D29+D30+D31+D28+D32</f>
        <v>838049.2243100001</v>
      </c>
      <c r="E33" s="45">
        <f>E8+E9+E11+E12+E13+E14+E15+E17+E18+E19+E20+E21+E22+E24+E26+E27+E28+E29+E30+E32</f>
        <v>668682.58307</v>
      </c>
      <c r="F33" s="45">
        <f>F8+F9+F11+F12+F13+F14+F15+F17+F18+F19+F20+F21+F22+F24+F26+F27+F28+F29+F30+F32</f>
        <v>646965.4611599998</v>
      </c>
      <c r="G33" s="43">
        <f>F33/E33*100</f>
        <v>96.75225249470468</v>
      </c>
      <c r="H33" s="43">
        <f t="shared" si="1"/>
        <v>-191083.76315000025</v>
      </c>
      <c r="I33" s="24"/>
    </row>
    <row r="34" spans="2:8" ht="12.75">
      <c r="B34" s="1"/>
      <c r="C34" s="1"/>
      <c r="D34" s="2"/>
      <c r="E34" s="2"/>
      <c r="F34" s="2"/>
      <c r="G34" s="2"/>
      <c r="H34" s="2"/>
    </row>
  </sheetData>
  <sheetProtection/>
  <mergeCells count="4">
    <mergeCell ref="B2:H2"/>
    <mergeCell ref="B4:H4"/>
    <mergeCell ref="B5:H5"/>
    <mergeCell ref="B3:H3"/>
  </mergeCells>
  <printOptions/>
  <pageMargins left="0.5905511811023623" right="0" top="0.1968503937007874" bottom="0.984251968503937" header="0.5118110236220472" footer="0.5118110236220472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="66" zoomScaleNormal="66" zoomScalePageLayoutView="0" workbookViewId="0" topLeftCell="A1">
      <selection activeCell="G7" sqref="G7"/>
    </sheetView>
  </sheetViews>
  <sheetFormatPr defaultColWidth="9.00390625" defaultRowHeight="12.75"/>
  <cols>
    <col min="1" max="1" width="15.75390625" style="0" customWidth="1"/>
    <col min="2" max="2" width="41.00390625" style="0" customWidth="1"/>
    <col min="3" max="3" width="17.75390625" style="21" customWidth="1"/>
    <col min="4" max="4" width="22.00390625" style="21" customWidth="1"/>
    <col min="5" max="5" width="18.875" style="0" customWidth="1"/>
    <col min="6" max="6" width="17.00390625" style="0" customWidth="1"/>
    <col min="7" max="7" width="18.75390625" style="0" customWidth="1"/>
  </cols>
  <sheetData>
    <row r="1" spans="2:7" ht="18.75">
      <c r="B1" s="5"/>
      <c r="C1" s="19"/>
      <c r="D1" s="19"/>
      <c r="E1" s="5"/>
      <c r="F1" s="5"/>
      <c r="G1" s="7">
        <v>2</v>
      </c>
    </row>
    <row r="2" spans="1:7" ht="22.5">
      <c r="A2" s="51" t="s">
        <v>34</v>
      </c>
      <c r="B2" s="51"/>
      <c r="C2" s="51"/>
      <c r="D2" s="51"/>
      <c r="E2" s="51"/>
      <c r="F2" s="51"/>
      <c r="G2" s="51"/>
    </row>
    <row r="3" spans="1:7" ht="22.5">
      <c r="A3" s="51" t="s">
        <v>58</v>
      </c>
      <c r="B3" s="51"/>
      <c r="C3" s="51"/>
      <c r="D3" s="51"/>
      <c r="E3" s="51"/>
      <c r="F3" s="51"/>
      <c r="G3" s="51"/>
    </row>
    <row r="4" spans="1:7" ht="22.5">
      <c r="A4" s="51" t="s">
        <v>62</v>
      </c>
      <c r="B4" s="51"/>
      <c r="C4" s="51"/>
      <c r="D4" s="51"/>
      <c r="E4" s="51"/>
      <c r="F4" s="51"/>
      <c r="G4" s="51"/>
    </row>
    <row r="5" spans="1:7" ht="22.5">
      <c r="A5" s="51" t="s">
        <v>18</v>
      </c>
      <c r="B5" s="51"/>
      <c r="C5" s="51"/>
      <c r="D5" s="51"/>
      <c r="E5" s="51"/>
      <c r="F5" s="51"/>
      <c r="G5" s="51"/>
    </row>
    <row r="6" spans="2:7" ht="18.75">
      <c r="B6" s="5"/>
      <c r="C6" s="19"/>
      <c r="D6" s="19"/>
      <c r="E6" s="5"/>
      <c r="F6" s="5"/>
      <c r="G6" s="7" t="s">
        <v>13</v>
      </c>
    </row>
    <row r="7" spans="1:7" s="3" customFormat="1" ht="118.5" customHeight="1">
      <c r="A7" s="10" t="s">
        <v>38</v>
      </c>
      <c r="B7" s="11" t="s">
        <v>33</v>
      </c>
      <c r="C7" s="36" t="s">
        <v>61</v>
      </c>
      <c r="D7" s="36" t="s">
        <v>63</v>
      </c>
      <c r="E7" s="37" t="s">
        <v>64</v>
      </c>
      <c r="F7" s="10" t="s">
        <v>19</v>
      </c>
      <c r="G7" s="10" t="s">
        <v>72</v>
      </c>
    </row>
    <row r="8" spans="1:7" ht="24" customHeight="1">
      <c r="A8" s="15" t="s">
        <v>39</v>
      </c>
      <c r="B8" s="17" t="s">
        <v>0</v>
      </c>
      <c r="C8" s="40">
        <v>55148.42361</v>
      </c>
      <c r="D8" s="41">
        <v>66345.6982</v>
      </c>
      <c r="E8" s="40">
        <v>65853.0445</v>
      </c>
      <c r="F8" s="42">
        <f>E8/D8*100</f>
        <v>99.25744439599553</v>
      </c>
      <c r="G8" s="42">
        <f>E8-C8</f>
        <v>10704.620890000006</v>
      </c>
    </row>
    <row r="9" spans="1:9" ht="20.25" customHeight="1">
      <c r="A9" s="16">
        <v>1000</v>
      </c>
      <c r="B9" s="17" t="s">
        <v>1</v>
      </c>
      <c r="C9" s="40">
        <v>316380.13214</v>
      </c>
      <c r="D9" s="42">
        <v>370625.2697</v>
      </c>
      <c r="E9" s="40">
        <v>355686.48377</v>
      </c>
      <c r="F9" s="42">
        <f aca="true" t="shared" si="0" ref="F9:F26">E9/D9*100</f>
        <v>95.96930183899978</v>
      </c>
      <c r="G9" s="42">
        <f aca="true" t="shared" si="1" ref="G9:G26">E9-C9</f>
        <v>39306.35162999999</v>
      </c>
      <c r="I9" s="24"/>
    </row>
    <row r="10" spans="1:7" ht="20.25">
      <c r="A10" s="16">
        <v>2000</v>
      </c>
      <c r="B10" s="17" t="s">
        <v>40</v>
      </c>
      <c r="C10" s="40">
        <v>148657.15346</v>
      </c>
      <c r="D10" s="42">
        <v>83522.62816</v>
      </c>
      <c r="E10" s="40">
        <v>80858.97504</v>
      </c>
      <c r="F10" s="42">
        <f t="shared" si="0"/>
        <v>96.81086050728987</v>
      </c>
      <c r="G10" s="42">
        <f t="shared" si="1"/>
        <v>-67798.17842</v>
      </c>
    </row>
    <row r="11" spans="1:10" ht="39" customHeight="1">
      <c r="A11" s="16">
        <v>3000</v>
      </c>
      <c r="B11" s="17" t="s">
        <v>41</v>
      </c>
      <c r="C11" s="42">
        <v>200978.15278</v>
      </c>
      <c r="D11" s="42">
        <v>22451.22796</v>
      </c>
      <c r="E11" s="42">
        <v>22192.03945</v>
      </c>
      <c r="F11" s="42">
        <f t="shared" si="0"/>
        <v>98.84554862450383</v>
      </c>
      <c r="G11" s="42">
        <f t="shared" si="1"/>
        <v>-178786.11333</v>
      </c>
      <c r="I11" s="24"/>
      <c r="J11" s="24"/>
    </row>
    <row r="12" spans="1:9" ht="39" customHeight="1">
      <c r="A12" s="16">
        <v>4000</v>
      </c>
      <c r="B12" s="17" t="s">
        <v>2</v>
      </c>
      <c r="C12" s="40">
        <v>17738.43968</v>
      </c>
      <c r="D12" s="42">
        <v>19371.78305</v>
      </c>
      <c r="E12" s="40">
        <v>19138.04374</v>
      </c>
      <c r="F12" s="42">
        <f t="shared" si="0"/>
        <v>98.79340322263211</v>
      </c>
      <c r="G12" s="42">
        <f t="shared" si="1"/>
        <v>1399.6040600000015</v>
      </c>
      <c r="I12" s="24"/>
    </row>
    <row r="13" spans="1:7" ht="21.75" customHeight="1">
      <c r="A13" s="16">
        <v>5000</v>
      </c>
      <c r="B13" s="17" t="s">
        <v>32</v>
      </c>
      <c r="C13" s="42">
        <v>13007.81231</v>
      </c>
      <c r="D13" s="42">
        <v>15425.557</v>
      </c>
      <c r="E13" s="42">
        <v>14584.4535</v>
      </c>
      <c r="F13" s="42">
        <f t="shared" si="0"/>
        <v>94.54733790163947</v>
      </c>
      <c r="G13" s="42">
        <f t="shared" si="1"/>
        <v>1576.6411900000003</v>
      </c>
    </row>
    <row r="14" spans="1:7" ht="48" customHeight="1">
      <c r="A14" s="16">
        <v>6000</v>
      </c>
      <c r="B14" s="17" t="s">
        <v>42</v>
      </c>
      <c r="C14" s="46">
        <v>59032.48453</v>
      </c>
      <c r="D14" s="42">
        <v>68878.069</v>
      </c>
      <c r="E14" s="46">
        <v>68403.39882</v>
      </c>
      <c r="F14" s="42">
        <f t="shared" si="0"/>
        <v>99.31085440272723</v>
      </c>
      <c r="G14" s="42">
        <f t="shared" si="1"/>
        <v>9370.91429</v>
      </c>
    </row>
    <row r="15" spans="1:7" ht="48" customHeight="1">
      <c r="A15" s="25" t="s">
        <v>55</v>
      </c>
      <c r="B15" s="17" t="s">
        <v>54</v>
      </c>
      <c r="C15" s="40">
        <v>218.62</v>
      </c>
      <c r="D15" s="46"/>
      <c r="E15" s="40"/>
      <c r="F15" s="42"/>
      <c r="G15" s="42">
        <f t="shared" si="1"/>
        <v>-218.62</v>
      </c>
    </row>
    <row r="16" spans="1:7" ht="20.25">
      <c r="A16" s="25" t="s">
        <v>44</v>
      </c>
      <c r="B16" s="17" t="s">
        <v>3</v>
      </c>
      <c r="C16" s="40">
        <v>4.68</v>
      </c>
      <c r="D16" s="46"/>
      <c r="E16" s="40"/>
      <c r="F16" s="42"/>
      <c r="G16" s="42">
        <f t="shared" si="1"/>
        <v>-4.68</v>
      </c>
    </row>
    <row r="17" spans="1:7" ht="60.75">
      <c r="A17" s="25" t="s">
        <v>51</v>
      </c>
      <c r="B17" s="31" t="s">
        <v>52</v>
      </c>
      <c r="C17" s="40">
        <v>19672.43593</v>
      </c>
      <c r="D17" s="40">
        <v>10197.379</v>
      </c>
      <c r="E17" s="40">
        <v>9618.45335</v>
      </c>
      <c r="F17" s="42">
        <f t="shared" si="0"/>
        <v>94.32279951544412</v>
      </c>
      <c r="G17" s="42">
        <f t="shared" si="1"/>
        <v>-10053.98258</v>
      </c>
    </row>
    <row r="18" spans="1:7" ht="60.75">
      <c r="A18" s="25" t="s">
        <v>50</v>
      </c>
      <c r="B18" s="17" t="s">
        <v>53</v>
      </c>
      <c r="C18" s="40">
        <v>159.426</v>
      </c>
      <c r="D18" s="40">
        <v>850.487</v>
      </c>
      <c r="E18" s="40">
        <v>779.78348</v>
      </c>
      <c r="F18" s="42">
        <f t="shared" si="0"/>
        <v>91.68670185434934</v>
      </c>
      <c r="G18" s="42">
        <f t="shared" si="1"/>
        <v>620.3574800000001</v>
      </c>
    </row>
    <row r="19" spans="1:7" ht="80.25" customHeight="1">
      <c r="A19" s="27" t="s">
        <v>45</v>
      </c>
      <c r="B19" s="28" t="s">
        <v>46</v>
      </c>
      <c r="C19" s="46">
        <v>635.86275</v>
      </c>
      <c r="D19" s="46">
        <v>891.296</v>
      </c>
      <c r="E19" s="46">
        <v>888.08733</v>
      </c>
      <c r="F19" s="42">
        <f t="shared" si="0"/>
        <v>99.63999950633684</v>
      </c>
      <c r="G19" s="42">
        <f t="shared" si="1"/>
        <v>252.22457999999995</v>
      </c>
    </row>
    <row r="20" spans="1:7" ht="48.75" customHeight="1">
      <c r="A20" s="29">
        <v>8200</v>
      </c>
      <c r="B20" s="28" t="s">
        <v>47</v>
      </c>
      <c r="C20" s="46">
        <v>2487.76595</v>
      </c>
      <c r="D20" s="46">
        <v>4147.921</v>
      </c>
      <c r="E20" s="46">
        <v>4035.67461</v>
      </c>
      <c r="F20" s="42">
        <f t="shared" si="0"/>
        <v>97.29391205859514</v>
      </c>
      <c r="G20" s="42">
        <f t="shared" si="1"/>
        <v>1547.90866</v>
      </c>
    </row>
    <row r="21" spans="1:7" ht="48.75" customHeight="1">
      <c r="A21" s="25" t="s">
        <v>65</v>
      </c>
      <c r="B21" s="32" t="s">
        <v>66</v>
      </c>
      <c r="C21" s="46"/>
      <c r="D21" s="46">
        <v>25</v>
      </c>
      <c r="E21" s="46">
        <v>24.97767</v>
      </c>
      <c r="F21" s="42"/>
      <c r="G21" s="42"/>
    </row>
    <row r="22" spans="1:7" ht="24.75" customHeight="1">
      <c r="A22" s="27" t="s">
        <v>48</v>
      </c>
      <c r="B22" s="30" t="s">
        <v>49</v>
      </c>
      <c r="C22" s="46">
        <v>3206.73522</v>
      </c>
      <c r="D22" s="46">
        <v>4555.289</v>
      </c>
      <c r="E22" s="46">
        <v>4391.74755</v>
      </c>
      <c r="F22" s="42">
        <f t="shared" si="0"/>
        <v>96.40985566448144</v>
      </c>
      <c r="G22" s="42">
        <f t="shared" si="1"/>
        <v>1185.01233</v>
      </c>
    </row>
    <row r="23" spans="1:7" s="21" customFormat="1" ht="26.25" customHeight="1">
      <c r="A23" s="25" t="s">
        <v>43</v>
      </c>
      <c r="B23" s="35" t="s">
        <v>71</v>
      </c>
      <c r="C23" s="46"/>
      <c r="D23" s="46">
        <v>420</v>
      </c>
      <c r="E23" s="46">
        <v>405.09835</v>
      </c>
      <c r="F23" s="42"/>
      <c r="G23" s="46">
        <f t="shared" si="1"/>
        <v>405.09835</v>
      </c>
    </row>
    <row r="24" spans="1:7" ht="26.25" customHeight="1">
      <c r="A24" s="27" t="s">
        <v>59</v>
      </c>
      <c r="B24" s="30" t="s">
        <v>60</v>
      </c>
      <c r="C24" s="40"/>
      <c r="D24" s="46">
        <v>869.778</v>
      </c>
      <c r="E24" s="40"/>
      <c r="F24" s="42"/>
      <c r="G24" s="42"/>
    </row>
    <row r="25" spans="1:7" ht="42.75" customHeight="1">
      <c r="A25" s="27" t="s">
        <v>56</v>
      </c>
      <c r="B25" s="32" t="s">
        <v>57</v>
      </c>
      <c r="C25" s="40">
        <f>417.99995+303.1</f>
        <v>721.09995</v>
      </c>
      <c r="D25" s="46">
        <v>105.2</v>
      </c>
      <c r="E25" s="40">
        <v>105.2</v>
      </c>
      <c r="F25" s="42">
        <f t="shared" si="0"/>
        <v>100</v>
      </c>
      <c r="G25" s="42">
        <f t="shared" si="1"/>
        <v>-615.89995</v>
      </c>
    </row>
    <row r="26" spans="1:7" ht="20.25">
      <c r="A26" s="26"/>
      <c r="B26" s="10" t="s">
        <v>36</v>
      </c>
      <c r="C26" s="48">
        <f>C8+C9+C10+C11+C12+C13+C14+C15+C16+C17+C18+C19+C20+C22+C23+C24+C25</f>
        <v>838049.22431</v>
      </c>
      <c r="D26" s="48">
        <f>SUM(D8:D25)</f>
        <v>668682.5830699999</v>
      </c>
      <c r="E26" s="48">
        <f>SUM(E8:E25)</f>
        <v>646965.4611599998</v>
      </c>
      <c r="F26" s="43">
        <f t="shared" si="0"/>
        <v>96.75225249470469</v>
      </c>
      <c r="G26" s="43">
        <f t="shared" si="1"/>
        <v>-191083.76315000013</v>
      </c>
    </row>
    <row r="27" spans="2:7" ht="15.75">
      <c r="B27" s="6"/>
      <c r="C27" s="23"/>
      <c r="D27" s="23"/>
      <c r="E27" s="23"/>
      <c r="F27" s="5"/>
      <c r="G27" s="23"/>
    </row>
    <row r="28" spans="1:7" ht="20.25">
      <c r="A28" s="14"/>
      <c r="B28" s="13"/>
      <c r="C28" s="20"/>
      <c r="D28" s="20"/>
      <c r="E28" s="13"/>
      <c r="F28" s="13"/>
      <c r="G28" s="13"/>
    </row>
    <row r="29" spans="1:7" s="14" customFormat="1" ht="20.25">
      <c r="A29" s="50"/>
      <c r="B29" s="50"/>
      <c r="C29" s="50"/>
      <c r="D29" s="20"/>
      <c r="E29" s="13"/>
      <c r="F29" s="13"/>
      <c r="G29" s="13"/>
    </row>
    <row r="30" spans="1:7" ht="20.25">
      <c r="A30" s="14"/>
      <c r="B30" s="13"/>
      <c r="C30" s="39"/>
      <c r="D30" s="20"/>
      <c r="E30" s="13"/>
      <c r="F30" s="13"/>
      <c r="G30" s="13"/>
    </row>
    <row r="31" spans="1:7" ht="20.25">
      <c r="A31" s="14"/>
      <c r="B31" s="13"/>
      <c r="C31" s="20"/>
      <c r="D31" s="20"/>
      <c r="E31" s="13"/>
      <c r="F31" s="13"/>
      <c r="G31" s="13"/>
    </row>
    <row r="32" spans="1:7" ht="20.25">
      <c r="A32" s="14"/>
      <c r="B32" s="13"/>
      <c r="C32" s="38"/>
      <c r="D32" s="20"/>
      <c r="E32" s="38"/>
      <c r="F32" s="33"/>
      <c r="G32" s="13"/>
    </row>
    <row r="33" spans="1:7" ht="20.25">
      <c r="A33" s="14"/>
      <c r="B33" s="13"/>
      <c r="C33" s="38"/>
      <c r="D33" s="20"/>
      <c r="E33" s="38"/>
      <c r="F33" s="13"/>
      <c r="G33" s="13"/>
    </row>
    <row r="34" spans="1:7" ht="20.25">
      <c r="A34" s="14"/>
      <c r="B34" s="13"/>
      <c r="C34" s="38"/>
      <c r="D34" s="20"/>
      <c r="E34" s="13"/>
      <c r="F34" s="13"/>
      <c r="G34" s="13"/>
    </row>
    <row r="35" spans="2:7" ht="12.75">
      <c r="B35" s="5"/>
      <c r="C35" s="19"/>
      <c r="D35" s="19"/>
      <c r="E35" s="5"/>
      <c r="F35" s="5"/>
      <c r="G35" s="5"/>
    </row>
    <row r="36" spans="2:7" ht="12.75">
      <c r="B36" s="5"/>
      <c r="C36" s="19"/>
      <c r="D36" s="19"/>
      <c r="E36" s="5"/>
      <c r="F36" s="5"/>
      <c r="G36" s="5"/>
    </row>
    <row r="37" spans="2:7" ht="12.75">
      <c r="B37" s="5"/>
      <c r="C37" s="19"/>
      <c r="D37" s="19"/>
      <c r="E37" s="5"/>
      <c r="F37" s="5"/>
      <c r="G37" s="5"/>
    </row>
    <row r="38" spans="2:7" ht="12.75">
      <c r="B38" s="5"/>
      <c r="C38" s="19"/>
      <c r="D38" s="19"/>
      <c r="E38" s="5"/>
      <c r="F38" s="5"/>
      <c r="G38" s="5"/>
    </row>
    <row r="39" spans="2:7" ht="12.75">
      <c r="B39" s="5"/>
      <c r="C39" s="19"/>
      <c r="D39" s="19"/>
      <c r="E39" s="5"/>
      <c r="F39" s="5"/>
      <c r="G39" s="5"/>
    </row>
    <row r="40" spans="2:7" ht="12.75">
      <c r="B40" s="5"/>
      <c r="C40" s="19"/>
      <c r="D40" s="19"/>
      <c r="E40" s="5"/>
      <c r="F40" s="5"/>
      <c r="G40" s="5"/>
    </row>
    <row r="41" spans="2:7" ht="12.75">
      <c r="B41" s="5"/>
      <c r="C41" s="19"/>
      <c r="D41" s="19"/>
      <c r="E41" s="5"/>
      <c r="F41" s="5"/>
      <c r="G41" s="5"/>
    </row>
    <row r="42" spans="2:7" ht="12.75">
      <c r="B42" s="5"/>
      <c r="C42" s="19"/>
      <c r="D42" s="19"/>
      <c r="E42" s="5"/>
      <c r="F42" s="5"/>
      <c r="G42" s="5"/>
    </row>
    <row r="43" spans="2:7" ht="12.75">
      <c r="B43" s="5"/>
      <c r="C43" s="19"/>
      <c r="D43" s="19"/>
      <c r="E43" s="5"/>
      <c r="F43" s="5"/>
      <c r="G43" s="5"/>
    </row>
    <row r="44" spans="2:7" ht="12.75">
      <c r="B44" s="5"/>
      <c r="C44" s="19"/>
      <c r="D44" s="19"/>
      <c r="E44" s="5"/>
      <c r="F44" s="5"/>
      <c r="G44" s="5"/>
    </row>
    <row r="45" spans="2:7" ht="12.75">
      <c r="B45" s="5"/>
      <c r="C45" s="19"/>
      <c r="D45" s="19"/>
      <c r="E45" s="5"/>
      <c r="F45" s="5"/>
      <c r="G45" s="5"/>
    </row>
    <row r="46" spans="2:7" ht="12.75">
      <c r="B46" s="5"/>
      <c r="C46" s="19"/>
      <c r="D46" s="19"/>
      <c r="E46" s="5"/>
      <c r="F46" s="5"/>
      <c r="G46" s="5"/>
    </row>
    <row r="47" spans="2:7" ht="12.75">
      <c r="B47" s="5"/>
      <c r="C47" s="19"/>
      <c r="D47" s="19"/>
      <c r="E47" s="5"/>
      <c r="F47" s="5"/>
      <c r="G47" s="5"/>
    </row>
    <row r="48" spans="2:7" ht="12.75">
      <c r="B48" s="5"/>
      <c r="C48" s="19"/>
      <c r="D48" s="19"/>
      <c r="E48" s="5"/>
      <c r="F48" s="5"/>
      <c r="G48" s="5"/>
    </row>
    <row r="49" spans="2:7" ht="12.75">
      <c r="B49" s="5"/>
      <c r="C49" s="19"/>
      <c r="D49" s="19"/>
      <c r="E49" s="5"/>
      <c r="F49" s="5"/>
      <c r="G49" s="5"/>
    </row>
    <row r="50" spans="2:7" ht="12.75">
      <c r="B50" s="5"/>
      <c r="C50" s="19"/>
      <c r="D50" s="19"/>
      <c r="E50" s="5"/>
      <c r="F50" s="5"/>
      <c r="G50" s="5"/>
    </row>
  </sheetData>
  <sheetProtection/>
  <mergeCells count="5">
    <mergeCell ref="A29:C29"/>
    <mergeCell ref="A2:G2"/>
    <mergeCell ref="A3:G3"/>
    <mergeCell ref="A4:G4"/>
    <mergeCell ref="A5:G5"/>
  </mergeCells>
  <printOptions/>
  <pageMargins left="0.5905511811023623" right="0" top="0.1968503937007874" bottom="0.7874015748031497" header="0.5118110236220472" footer="0.5118110236220472"/>
  <pageSetup horizontalDpi="120" verticalDpi="12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Continent-Service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Home... My Sweet-Home...</dc:creator>
  <cp:keywords/>
  <dc:description/>
  <cp:lastModifiedBy>user</cp:lastModifiedBy>
  <cp:lastPrinted>2021-01-16T09:06:05Z</cp:lastPrinted>
  <dcterms:created xsi:type="dcterms:W3CDTF">2003-04-14T04:34:14Z</dcterms:created>
  <dcterms:modified xsi:type="dcterms:W3CDTF">2021-01-19T12:09:15Z</dcterms:modified>
  <cp:category/>
  <cp:version/>
  <cp:contentType/>
  <cp:contentStatus/>
</cp:coreProperties>
</file>