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F76FD0BA-DDA2-433A-9A97-6B48E6E864AA}" xr6:coauthVersionLast="37" xr6:coauthVersionMax="37" xr10:uidLastSave="{00000000-0000-0000-0000-000000000000}"/>
  <bookViews>
    <workbookView xWindow="2115" yWindow="0" windowWidth="26685" windowHeight="12810" xr2:uid="{D60B0FB3-B71A-491D-A277-294C6E5B6C8C}"/>
  </bookViews>
  <sheets>
    <sheet name="Ікв 21" sheetId="1" r:id="rId1"/>
  </sheets>
  <externalReferences>
    <externalReference r:id="rId2"/>
  </externalReferences>
  <definedNames>
    <definedName name="_xlnm.Print_Area" localSheetId="0">'Ікв 21'!$A$1:$AP$61</definedName>
  </definedName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1" l="1"/>
  <c r="E58" i="1" s="1"/>
  <c r="C58" i="1"/>
  <c r="AD58" i="1" s="1"/>
  <c r="AD57" i="1"/>
  <c r="E57" i="1"/>
  <c r="D57" i="1"/>
  <c r="C57" i="1"/>
  <c r="D56" i="1"/>
  <c r="E56" i="1" s="1"/>
  <c r="C56" i="1"/>
  <c r="AD56" i="1" s="1"/>
  <c r="D55" i="1"/>
  <c r="E55" i="1" s="1"/>
  <c r="C55" i="1"/>
  <c r="AD55" i="1" s="1"/>
  <c r="AD54" i="1"/>
  <c r="E54" i="1"/>
  <c r="D54" i="1"/>
  <c r="C54" i="1"/>
  <c r="D53" i="1"/>
  <c r="E53" i="1" s="1"/>
  <c r="C53" i="1"/>
  <c r="AD53" i="1" s="1"/>
  <c r="D52" i="1"/>
  <c r="E52" i="1" s="1"/>
  <c r="C52" i="1"/>
  <c r="AD52" i="1" s="1"/>
  <c r="AD51" i="1"/>
  <c r="E51" i="1"/>
  <c r="D51" i="1"/>
  <c r="C51" i="1"/>
  <c r="D50" i="1"/>
  <c r="E50" i="1" s="1"/>
  <c r="C50" i="1"/>
  <c r="AD50" i="1" s="1"/>
  <c r="D49" i="1"/>
  <c r="E49" i="1" s="1"/>
  <c r="C49" i="1"/>
  <c r="AD49" i="1" s="1"/>
  <c r="AC47" i="1"/>
  <c r="AC59" i="1" s="1"/>
  <c r="AB47" i="1"/>
  <c r="AA47" i="1"/>
  <c r="Z47" i="1"/>
  <c r="Y47" i="1"/>
  <c r="X47" i="1"/>
  <c r="X59" i="1" s="1"/>
  <c r="W47" i="1"/>
  <c r="W59" i="1" s="1"/>
  <c r="V47" i="1"/>
  <c r="U47" i="1"/>
  <c r="T47" i="1"/>
  <c r="S47" i="1"/>
  <c r="R47" i="1"/>
  <c r="R59" i="1" s="1"/>
  <c r="Q47" i="1"/>
  <c r="Q59" i="1" s="1"/>
  <c r="P47" i="1"/>
  <c r="O47" i="1"/>
  <c r="N47" i="1"/>
  <c r="M47" i="1"/>
  <c r="L47" i="1"/>
  <c r="L59" i="1" s="1"/>
  <c r="K47" i="1"/>
  <c r="J47" i="1"/>
  <c r="I47" i="1"/>
  <c r="H47" i="1"/>
  <c r="G47" i="1"/>
  <c r="D47" i="1" s="1"/>
  <c r="F47" i="1"/>
  <c r="D46" i="1"/>
  <c r="C46" i="1"/>
  <c r="AD46" i="1" s="1"/>
  <c r="K45" i="1"/>
  <c r="J45" i="1"/>
  <c r="I45" i="1"/>
  <c r="I43" i="1" s="1"/>
  <c r="H45" i="1"/>
  <c r="H43" i="1" s="1"/>
  <c r="G45" i="1"/>
  <c r="G43" i="1" s="1"/>
  <c r="D43" i="1" s="1"/>
  <c r="F45" i="1"/>
  <c r="C45" i="1" s="1"/>
  <c r="AC43" i="1"/>
  <c r="AC7" i="1" s="1"/>
  <c r="AB43" i="1"/>
  <c r="AA43" i="1"/>
  <c r="Z43" i="1"/>
  <c r="Y43" i="1"/>
  <c r="X43" i="1"/>
  <c r="W43" i="1"/>
  <c r="W7" i="1" s="1"/>
  <c r="V43" i="1"/>
  <c r="U43" i="1"/>
  <c r="T43" i="1"/>
  <c r="S43" i="1"/>
  <c r="R43" i="1"/>
  <c r="Q43" i="1"/>
  <c r="Q7" i="1" s="1"/>
  <c r="P43" i="1"/>
  <c r="O43" i="1"/>
  <c r="N43" i="1"/>
  <c r="M43" i="1"/>
  <c r="L43" i="1"/>
  <c r="K43" i="1"/>
  <c r="J43" i="1"/>
  <c r="D42" i="1"/>
  <c r="E42" i="1" s="1"/>
  <c r="C42" i="1"/>
  <c r="AD42" i="1" s="1"/>
  <c r="J41" i="1"/>
  <c r="H41" i="1"/>
  <c r="F41" i="1"/>
  <c r="F25" i="1" s="1"/>
  <c r="C25" i="1" s="1"/>
  <c r="D41" i="1"/>
  <c r="E41" i="1" s="1"/>
  <c r="C41" i="1"/>
  <c r="AD41" i="1" s="1"/>
  <c r="D40" i="1"/>
  <c r="E40" i="1" s="1"/>
  <c r="C40" i="1"/>
  <c r="AD40" i="1" s="1"/>
  <c r="AD39" i="1"/>
  <c r="E39" i="1"/>
  <c r="D39" i="1"/>
  <c r="C39" i="1"/>
  <c r="D38" i="1"/>
  <c r="E38" i="1" s="1"/>
  <c r="C38" i="1"/>
  <c r="AD38" i="1" s="1"/>
  <c r="D37" i="1"/>
  <c r="E37" i="1" s="1"/>
  <c r="C37" i="1"/>
  <c r="AD37" i="1" s="1"/>
  <c r="AD36" i="1"/>
  <c r="E36" i="1"/>
  <c r="D36" i="1"/>
  <c r="C36" i="1"/>
  <c r="D35" i="1"/>
  <c r="E35" i="1" s="1"/>
  <c r="C35" i="1"/>
  <c r="AD35" i="1" s="1"/>
  <c r="D34" i="1"/>
  <c r="E34" i="1" s="1"/>
  <c r="C34" i="1"/>
  <c r="AD34" i="1" s="1"/>
  <c r="D33" i="1"/>
  <c r="AD33" i="1" s="1"/>
  <c r="C33" i="1"/>
  <c r="D32" i="1"/>
  <c r="E32" i="1" s="1"/>
  <c r="C32" i="1"/>
  <c r="AD32" i="1" s="1"/>
  <c r="AD31" i="1"/>
  <c r="D31" i="1"/>
  <c r="E31" i="1" s="1"/>
  <c r="C31" i="1"/>
  <c r="D30" i="1"/>
  <c r="AD30" i="1" s="1"/>
  <c r="C30" i="1"/>
  <c r="D29" i="1"/>
  <c r="E29" i="1" s="1"/>
  <c r="C29" i="1"/>
  <c r="AD29" i="1" s="1"/>
  <c r="AD28" i="1"/>
  <c r="D28" i="1"/>
  <c r="E28" i="1" s="1"/>
  <c r="C28" i="1"/>
  <c r="D27" i="1"/>
  <c r="AD27" i="1" s="1"/>
  <c r="C27" i="1"/>
  <c r="K25" i="1"/>
  <c r="J25" i="1"/>
  <c r="I25" i="1"/>
  <c r="D25" i="1" s="1"/>
  <c r="H25" i="1"/>
  <c r="G25" i="1"/>
  <c r="K24" i="1"/>
  <c r="J24" i="1"/>
  <c r="I24" i="1"/>
  <c r="D24" i="1" s="1"/>
  <c r="H24" i="1"/>
  <c r="F24" i="1"/>
  <c r="F20" i="1" s="1"/>
  <c r="J23" i="1"/>
  <c r="I23" i="1"/>
  <c r="D23" i="1" s="1"/>
  <c r="H23" i="1"/>
  <c r="C23" i="1" s="1"/>
  <c r="AD23" i="1" s="1"/>
  <c r="F23" i="1"/>
  <c r="AD22" i="1"/>
  <c r="E22" i="1"/>
  <c r="D22" i="1"/>
  <c r="C22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D20" i="1" s="1"/>
  <c r="G20" i="1"/>
  <c r="D19" i="1"/>
  <c r="C19" i="1"/>
  <c r="AD19" i="1" s="1"/>
  <c r="D18" i="1"/>
  <c r="E18" i="1" s="1"/>
  <c r="C18" i="1"/>
  <c r="D17" i="1"/>
  <c r="E17" i="1" s="1"/>
  <c r="C17" i="1"/>
  <c r="AD17" i="1" s="1"/>
  <c r="AD16" i="1"/>
  <c r="D16" i="1"/>
  <c r="E16" i="1" s="1"/>
  <c r="C16" i="1"/>
  <c r="D15" i="1"/>
  <c r="C15" i="1"/>
  <c r="AD15" i="1" s="1"/>
  <c r="K14" i="1"/>
  <c r="J14" i="1"/>
  <c r="I14" i="1"/>
  <c r="I11" i="1" s="1"/>
  <c r="H14" i="1"/>
  <c r="H11" i="1" s="1"/>
  <c r="F14" i="1"/>
  <c r="C14" i="1" s="1"/>
  <c r="K13" i="1"/>
  <c r="D13" i="1" s="1"/>
  <c r="J13" i="1"/>
  <c r="C13" i="1" s="1"/>
  <c r="AD13" i="1" s="1"/>
  <c r="H13" i="1"/>
  <c r="F13" i="1"/>
  <c r="AC11" i="1"/>
  <c r="AB11" i="1"/>
  <c r="AA11" i="1"/>
  <c r="Z11" i="1"/>
  <c r="Z7" i="1" s="1"/>
  <c r="Y11" i="1"/>
  <c r="Y7" i="1" s="1"/>
  <c r="X11" i="1"/>
  <c r="X7" i="1" s="1"/>
  <c r="W11" i="1"/>
  <c r="V11" i="1"/>
  <c r="U11" i="1"/>
  <c r="T11" i="1"/>
  <c r="T7" i="1" s="1"/>
  <c r="S11" i="1"/>
  <c r="S7" i="1" s="1"/>
  <c r="R11" i="1"/>
  <c r="R7" i="1" s="1"/>
  <c r="Q11" i="1"/>
  <c r="P11" i="1"/>
  <c r="O11" i="1"/>
  <c r="N11" i="1"/>
  <c r="N7" i="1" s="1"/>
  <c r="M11" i="1"/>
  <c r="M7" i="1" s="1"/>
  <c r="L11" i="1"/>
  <c r="L7" i="1" s="1"/>
  <c r="G11" i="1"/>
  <c r="F11" i="1"/>
  <c r="K10" i="1"/>
  <c r="J10" i="1"/>
  <c r="I10" i="1"/>
  <c r="H10" i="1"/>
  <c r="G10" i="1"/>
  <c r="F10" i="1"/>
  <c r="C10" i="1" s="1"/>
  <c r="AD10" i="1" s="1"/>
  <c r="D10" i="1"/>
  <c r="E10" i="1" s="1"/>
  <c r="K9" i="1"/>
  <c r="J9" i="1"/>
  <c r="I9" i="1"/>
  <c r="D9" i="1" s="1"/>
  <c r="H9" i="1"/>
  <c r="G9" i="1"/>
  <c r="F9" i="1"/>
  <c r="C9" i="1"/>
  <c r="AD9" i="1" s="1"/>
  <c r="AB7" i="1"/>
  <c r="AB59" i="1" s="1"/>
  <c r="AA7" i="1"/>
  <c r="AA59" i="1" s="1"/>
  <c r="V7" i="1"/>
  <c r="V59" i="1" s="1"/>
  <c r="U7" i="1"/>
  <c r="U59" i="1" s="1"/>
  <c r="P7" i="1"/>
  <c r="P59" i="1" s="1"/>
  <c r="O7" i="1"/>
  <c r="O59" i="1" s="1"/>
  <c r="K59" i="1" l="1"/>
  <c r="E13" i="1"/>
  <c r="E25" i="1"/>
  <c r="AD14" i="1"/>
  <c r="E24" i="1"/>
  <c r="E47" i="1"/>
  <c r="M59" i="1"/>
  <c r="S59" i="1"/>
  <c r="Y59" i="1"/>
  <c r="G7" i="1"/>
  <c r="D11" i="1"/>
  <c r="N59" i="1"/>
  <c r="T59" i="1"/>
  <c r="Z59" i="1"/>
  <c r="E9" i="1"/>
  <c r="H7" i="1"/>
  <c r="H59" i="1" s="1"/>
  <c r="I7" i="1"/>
  <c r="I59" i="1" s="1"/>
  <c r="E23" i="1"/>
  <c r="AD25" i="1"/>
  <c r="K7" i="1"/>
  <c r="J11" i="1"/>
  <c r="C11" i="1" s="1"/>
  <c r="AD11" i="1" s="1"/>
  <c r="D14" i="1"/>
  <c r="E14" i="1" s="1"/>
  <c r="C24" i="1"/>
  <c r="AD24" i="1" s="1"/>
  <c r="D45" i="1"/>
  <c r="C47" i="1"/>
  <c r="AD47" i="1" s="1"/>
  <c r="G59" i="1"/>
  <c r="E30" i="1"/>
  <c r="AD18" i="1"/>
  <c r="K11" i="1"/>
  <c r="H20" i="1"/>
  <c r="C20" i="1" s="1"/>
  <c r="E27" i="1"/>
  <c r="F43" i="1"/>
  <c r="C43" i="1" s="1"/>
  <c r="AD43" i="1" s="1"/>
  <c r="AD20" i="1" l="1"/>
  <c r="E20" i="1"/>
  <c r="E43" i="1"/>
  <c r="D59" i="1"/>
  <c r="J7" i="1"/>
  <c r="J59" i="1" s="1"/>
  <c r="E11" i="1"/>
  <c r="E45" i="1"/>
  <c r="AD45" i="1"/>
  <c r="D7" i="1"/>
  <c r="F7" i="1"/>
  <c r="C7" i="1" l="1"/>
  <c r="AD7" i="1" s="1"/>
  <c r="AD59" i="1" s="1"/>
  <c r="F59" i="1"/>
  <c r="C59" i="1" s="1"/>
  <c r="E59" i="1" s="1"/>
  <c r="E7" i="1"/>
</calcChain>
</file>

<file path=xl/sharedStrings.xml><?xml version="1.0" encoding="utf-8"?>
<sst xmlns="http://schemas.openxmlformats.org/spreadsheetml/2006/main" count="132" uniqueCount="104">
  <si>
    <t>Звіт про використання бюджетних коштів за І квартал 2021 року</t>
  </si>
  <si>
    <t>КП "Затишне місто"</t>
  </si>
  <si>
    <t>БЮДЖЕТ ЗА І кв. 2021 рік</t>
  </si>
  <si>
    <t>№ з/п</t>
  </si>
  <si>
    <t>Назва видатків, об'єктів</t>
  </si>
  <si>
    <t xml:space="preserve">Разом </t>
  </si>
  <si>
    <t>січень-березень 2021 року</t>
  </si>
  <si>
    <t>залишок (тис.грн.)</t>
  </si>
  <si>
    <t>план</t>
  </si>
  <si>
    <t>виконано</t>
  </si>
  <si>
    <t>% виконання</t>
  </si>
  <si>
    <t>Видатки (благоустрій)-всього (тис.грн.):</t>
  </si>
  <si>
    <t>в тому числі</t>
  </si>
  <si>
    <t>1.1</t>
  </si>
  <si>
    <t>Заробітна плата</t>
  </si>
  <si>
    <t>1.2</t>
  </si>
  <si>
    <t>Нарахування на заробітну плату</t>
  </si>
  <si>
    <t>1.3</t>
  </si>
  <si>
    <t>Матеріали-всього</t>
  </si>
  <si>
    <t>з них</t>
  </si>
  <si>
    <t>1.3.1</t>
  </si>
  <si>
    <t>паливо-мастильні матеріали</t>
  </si>
  <si>
    <t>1.3.2</t>
  </si>
  <si>
    <t>будівельні матеріали</t>
  </si>
  <si>
    <t>1.3.3</t>
  </si>
  <si>
    <t xml:space="preserve">господарчі товари </t>
  </si>
  <si>
    <t>1.3.4</t>
  </si>
  <si>
    <t>запчастини та матеріали</t>
  </si>
  <si>
    <t>1.3.5</t>
  </si>
  <si>
    <t>посипочний матеріал</t>
  </si>
  <si>
    <t>1.3.6</t>
  </si>
  <si>
    <t>саджанці</t>
  </si>
  <si>
    <t>1.3.7</t>
  </si>
  <si>
    <t xml:space="preserve">інші </t>
  </si>
  <si>
    <t>1.4</t>
  </si>
  <si>
    <t>Оплата комунальних послуг-всього</t>
  </si>
  <si>
    <t>1.4.1</t>
  </si>
  <si>
    <t>теплопостачання</t>
  </si>
  <si>
    <t>1.4.2</t>
  </si>
  <si>
    <t>електроенергія</t>
  </si>
  <si>
    <t>1.4.3</t>
  </si>
  <si>
    <t>водопостачання</t>
  </si>
  <si>
    <t>1.5</t>
  </si>
  <si>
    <t>Оплата послуг (крім комунальних)-всього</t>
  </si>
  <si>
    <t>1.5.1</t>
  </si>
  <si>
    <t>автопослуги</t>
  </si>
  <si>
    <t>1.5.2</t>
  </si>
  <si>
    <t>оренда приміщень</t>
  </si>
  <si>
    <t>1.5.3</t>
  </si>
  <si>
    <t>тех обслуговування транспорту</t>
  </si>
  <si>
    <t>1.5.4</t>
  </si>
  <si>
    <t>обслуговування комп'ютерної техніки</t>
  </si>
  <si>
    <t>1.5.5</t>
  </si>
  <si>
    <t>відшкодування послуг (утримання будинків)</t>
  </si>
  <si>
    <t>1.5.6</t>
  </si>
  <si>
    <t>навчання з охорони праці</t>
  </si>
  <si>
    <t>1.5.7</t>
  </si>
  <si>
    <t>послуги з зимового утримання доріг</t>
  </si>
  <si>
    <t>1.5.8</t>
  </si>
  <si>
    <t>послуги з обслуговування пляжу</t>
  </si>
  <si>
    <t>1.5.9</t>
  </si>
  <si>
    <t>послуги з охорони новорічної ялинки</t>
  </si>
  <si>
    <t>1.5.10</t>
  </si>
  <si>
    <t>послуги з мед огляду працівників</t>
  </si>
  <si>
    <t>1.5.11</t>
  </si>
  <si>
    <t>послуги з утримання газонів</t>
  </si>
  <si>
    <t>1.5.12</t>
  </si>
  <si>
    <t>послуги з ремонту та тех обсл трансформаторів</t>
  </si>
  <si>
    <t>1.5.13</t>
  </si>
  <si>
    <t>обов'язковий технічний контроль ТЗ</t>
  </si>
  <si>
    <t>1.5.14</t>
  </si>
  <si>
    <t>страхування транспорту</t>
  </si>
  <si>
    <t>1.5.15</t>
  </si>
  <si>
    <t>інші послуги</t>
  </si>
  <si>
    <t>1.5.16</t>
  </si>
  <si>
    <t>послуги з обслуговування мереж зов освітлення дитячого парку</t>
  </si>
  <si>
    <t>1.6</t>
  </si>
  <si>
    <t>Інші видатки-всього</t>
  </si>
  <si>
    <t>1.6.1</t>
  </si>
  <si>
    <t>податки</t>
  </si>
  <si>
    <t>1.6.2</t>
  </si>
  <si>
    <t>інші (утримання  притулку для безпритульних тварин)</t>
  </si>
  <si>
    <t>2</t>
  </si>
  <si>
    <t>Придбання основних засобів-всього:</t>
  </si>
  <si>
    <t>2.1</t>
  </si>
  <si>
    <t>Придбання саджанців дерев</t>
  </si>
  <si>
    <t>2.2</t>
  </si>
  <si>
    <t>Придбання саджанців</t>
  </si>
  <si>
    <t>2.3</t>
  </si>
  <si>
    <t>Придбання віброплити</t>
  </si>
  <si>
    <t>2.4</t>
  </si>
  <si>
    <t>Придбання газонокосарок</t>
  </si>
  <si>
    <t>2.5</t>
  </si>
  <si>
    <t>Придбання тримерів</t>
  </si>
  <si>
    <t>2.6</t>
  </si>
  <si>
    <t>2.7</t>
  </si>
  <si>
    <t>2.8</t>
  </si>
  <si>
    <t>2.9</t>
  </si>
  <si>
    <t>2.10</t>
  </si>
  <si>
    <t>ВСЬОГО (тис.грн.):</t>
  </si>
  <si>
    <t>Директор КП "Затишне місто"</t>
  </si>
  <si>
    <t>В.В. Коріневський</t>
  </si>
  <si>
    <t>Головний економіст</t>
  </si>
  <si>
    <t>А.М. Мкртчян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</si>
</sst>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_ ;[Red]\-0.0\ "/>
  </numFmts>
  <fonts count="11" x14ac:knownFonts="1">
    <font>
      <sz val="10"/>
      <name val="Arial Cyr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sz val="14"/>
      <name val="Arial Cyr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0" fillId="0" borderId="0" xfId="0" applyNumberFormat="1" applyFont="1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0" fillId="0" borderId="0" xfId="0" applyFont="1" applyFill="1" applyBorder="1"/>
    <xf numFmtId="49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justify" vertical="center"/>
    </xf>
    <xf numFmtId="164" fontId="5" fillId="2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164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65" fontId="3" fillId="0" borderId="2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center"/>
    </xf>
    <xf numFmtId="164" fontId="0" fillId="0" borderId="0" xfId="0" applyNumberFormat="1" applyFont="1" applyFill="1"/>
    <xf numFmtId="0" fontId="0" fillId="0" borderId="0" xfId="0" applyFont="1" applyFill="1"/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3" fillId="0" borderId="2" xfId="0" applyFont="1" applyFill="1" applyBorder="1"/>
    <xf numFmtId="0" fontId="9" fillId="0" borderId="0" xfId="0" applyFont="1" applyFill="1"/>
    <xf numFmtId="164" fontId="6" fillId="0" borderId="2" xfId="0" applyNumberFormat="1" applyFont="1" applyFill="1" applyBorder="1" applyAlignment="1">
      <alignment vertical="center"/>
    </xf>
    <xf numFmtId="0" fontId="9" fillId="0" borderId="0" xfId="0" applyFont="1"/>
    <xf numFmtId="0" fontId="3" fillId="0" borderId="2" xfId="0" applyFont="1" applyFill="1" applyBorder="1" applyAlignment="1">
      <alignment wrapText="1" shrinkToFit="1"/>
    </xf>
    <xf numFmtId="0" fontId="6" fillId="3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49" fontId="3" fillId="0" borderId="0" xfId="0" applyNumberFormat="1" applyFont="1" applyFill="1"/>
    <xf numFmtId="0" fontId="10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Border="1"/>
    <xf numFmtId="49" fontId="0" fillId="0" borderId="0" xfId="0" applyNumberFormat="1" applyFont="1"/>
    <xf numFmtId="9" fontId="0" fillId="0" borderId="0" xfId="0" applyNumberFormat="1" applyFont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7;&#1072;&#1090;&#1080;&#1096;&#1085;&#1077;%20&#1084;&#1110;&#1089;&#1090;&#1086;\2021\&#1047;&#1042;&#1030;&#1058;%20&#1073;&#1102;&#1076;&#1078;&#1077;&#1090;%20&#1079;&#1072;%202021&#1088;&#111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"/>
      <sheetName val="8 мес"/>
      <sheetName val="9 мес + гистогр"/>
      <sheetName val="1 квартал 17"/>
      <sheetName val="4 міс 17"/>
      <sheetName val="5 міс 17"/>
      <sheetName val="6 міс 17"/>
      <sheetName val="7 міс 17"/>
      <sheetName val="9 міс 17"/>
      <sheetName val="12 міс 17"/>
      <sheetName val="1кв 2018"/>
      <sheetName val="6 міс 2018"/>
      <sheetName val="9 міс 2018"/>
      <sheetName val="за рік 2018"/>
      <sheetName val="І кв 2019"/>
      <sheetName val="6 міс 2019"/>
      <sheetName val="9 міс 2019"/>
      <sheetName val="за рік 2019"/>
      <sheetName val="1кв 2020"/>
      <sheetName val="6міс 2020"/>
      <sheetName val="8міс 2020"/>
      <sheetName val="9міс 2020"/>
      <sheetName val="12міс 2020"/>
      <sheetName val="Ікв 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AE3" t="str">
            <v>Оплата праці</v>
          </cell>
          <cell r="AF3">
            <v>6853.2</v>
          </cell>
        </row>
        <row r="4">
          <cell r="AE4" t="str">
            <v>ПММ</v>
          </cell>
          <cell r="AF4">
            <v>1399.5</v>
          </cell>
        </row>
        <row r="5">
          <cell r="AE5" t="str">
            <v>Матеріали та запчастини АТД</v>
          </cell>
          <cell r="AF5">
            <v>46.099999999999994</v>
          </cell>
        </row>
        <row r="6">
          <cell r="AE6" t="str">
            <v>Матеріали ЦБ</v>
          </cell>
          <cell r="AF6">
            <v>81.599999999999824</v>
          </cell>
        </row>
        <row r="7">
          <cell r="AE7" t="str">
            <v>Комунальні послуги</v>
          </cell>
          <cell r="AF7">
            <v>118.99999999999999</v>
          </cell>
        </row>
        <row r="8">
          <cell r="AE8" t="str">
            <v>Інші послуги</v>
          </cell>
          <cell r="AF8">
            <v>183.99999999999997</v>
          </cell>
        </row>
        <row r="9">
          <cell r="AE9" t="str">
            <v>Податки</v>
          </cell>
          <cell r="AF9">
            <v>1167.0999999999999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BFC7F-6BBB-46E2-848D-2C901E8EB600}">
  <sheetPr>
    <pageSetUpPr fitToPage="1"/>
  </sheetPr>
  <dimension ref="A1:BH66"/>
  <sheetViews>
    <sheetView tabSelected="1" showWhiteSpace="0" view="pageLayout" topLeftCell="A22" zoomScale="80" zoomScaleNormal="76" zoomScaleSheetLayoutView="80" zoomScalePageLayoutView="80" workbookViewId="0">
      <selection activeCell="AH17" sqref="AH17"/>
    </sheetView>
  </sheetViews>
  <sheetFormatPr defaultRowHeight="18.75" x14ac:dyDescent="0.3"/>
  <cols>
    <col min="1" max="1" width="8.85546875" style="42" customWidth="1"/>
    <col min="2" max="2" width="55.85546875" style="3" customWidth="1"/>
    <col min="3" max="3" width="11.85546875" style="3" customWidth="1"/>
    <col min="4" max="4" width="13.85546875" style="3" customWidth="1"/>
    <col min="5" max="5" width="12.28515625" style="3" customWidth="1"/>
    <col min="6" max="6" width="9.28515625" style="3" customWidth="1"/>
    <col min="7" max="7" width="9.85546875" style="3" customWidth="1"/>
    <col min="8" max="8" width="9.140625" style="3" customWidth="1"/>
    <col min="9" max="9" width="10.28515625" style="3" customWidth="1"/>
    <col min="10" max="10" width="9.140625" style="3" customWidth="1"/>
    <col min="11" max="11" width="10.28515625" style="3" customWidth="1"/>
    <col min="12" max="12" width="9.140625" style="3" hidden="1" customWidth="1"/>
    <col min="13" max="13" width="10.28515625" style="3" hidden="1" customWidth="1"/>
    <col min="14" max="14" width="9.140625" style="3" hidden="1" customWidth="1"/>
    <col min="15" max="15" width="10.28515625" style="3" hidden="1" customWidth="1"/>
    <col min="16" max="16" width="9.140625" style="3" hidden="1" customWidth="1"/>
    <col min="17" max="17" width="9.7109375" style="3" hidden="1" customWidth="1"/>
    <col min="18" max="18" width="9.140625" style="3" hidden="1" customWidth="1"/>
    <col min="19" max="19" width="10.28515625" style="3" hidden="1" customWidth="1"/>
    <col min="20" max="20" width="9.140625" style="3" hidden="1" customWidth="1"/>
    <col min="21" max="21" width="10.28515625" style="3" hidden="1" customWidth="1"/>
    <col min="22" max="22" width="9.28515625" style="3" hidden="1" customWidth="1"/>
    <col min="23" max="23" width="10.28515625" style="3" hidden="1" customWidth="1"/>
    <col min="24" max="24" width="9.140625" style="3" hidden="1" customWidth="1"/>
    <col min="25" max="25" width="10.28515625" style="3" hidden="1" customWidth="1"/>
    <col min="26" max="26" width="9.140625" style="3" hidden="1" customWidth="1"/>
    <col min="27" max="27" width="10.28515625" style="3" hidden="1" customWidth="1"/>
    <col min="28" max="28" width="9.140625" style="3" hidden="1" customWidth="1"/>
    <col min="29" max="29" width="10.28515625" style="3" hidden="1" customWidth="1"/>
    <col min="30" max="30" width="11.85546875" style="44" customWidth="1"/>
    <col min="31" max="31" width="19.140625" style="3" customWidth="1"/>
    <col min="32" max="16384" width="9.140625" style="3"/>
  </cols>
  <sheetData>
    <row r="1" spans="1:60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8.75" customHeight="1" x14ac:dyDescent="0.3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60" ht="18" customHeight="1" x14ac:dyDescent="0.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F3" s="6"/>
    </row>
    <row r="4" spans="1:60" ht="17.25" customHeight="1" x14ac:dyDescent="0.2">
      <c r="A4" s="7" t="s">
        <v>3</v>
      </c>
      <c r="B4" s="8" t="s">
        <v>4</v>
      </c>
      <c r="C4" s="9" t="s">
        <v>5</v>
      </c>
      <c r="D4" s="9"/>
      <c r="E4" s="9"/>
      <c r="F4" s="9" t="s">
        <v>6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10" t="s">
        <v>7</v>
      </c>
      <c r="AF4" s="6"/>
    </row>
    <row r="5" spans="1:60" ht="18.75" customHeight="1" x14ac:dyDescent="0.2">
      <c r="A5" s="7"/>
      <c r="B5" s="8"/>
      <c r="C5" s="9"/>
      <c r="D5" s="9"/>
      <c r="E5" s="9"/>
      <c r="F5" s="9">
        <v>1</v>
      </c>
      <c r="G5" s="9"/>
      <c r="H5" s="9">
        <v>2</v>
      </c>
      <c r="I5" s="9"/>
      <c r="J5" s="9">
        <v>3</v>
      </c>
      <c r="K5" s="9"/>
      <c r="L5" s="9">
        <v>4</v>
      </c>
      <c r="M5" s="9"/>
      <c r="N5" s="9">
        <v>5</v>
      </c>
      <c r="O5" s="9"/>
      <c r="P5" s="9">
        <v>6</v>
      </c>
      <c r="Q5" s="9"/>
      <c r="R5" s="9">
        <v>7</v>
      </c>
      <c r="S5" s="9"/>
      <c r="T5" s="9">
        <v>8</v>
      </c>
      <c r="U5" s="9"/>
      <c r="V5" s="9">
        <v>9</v>
      </c>
      <c r="W5" s="9"/>
      <c r="X5" s="9">
        <v>10</v>
      </c>
      <c r="Y5" s="9"/>
      <c r="Z5" s="9">
        <v>11</v>
      </c>
      <c r="AA5" s="9"/>
      <c r="AB5" s="9">
        <v>12</v>
      </c>
      <c r="AC5" s="9"/>
      <c r="AD5" s="10"/>
      <c r="AF5" s="6"/>
    </row>
    <row r="6" spans="1:60" ht="32.25" customHeight="1" x14ac:dyDescent="0.2">
      <c r="A6" s="7"/>
      <c r="B6" s="8"/>
      <c r="C6" s="11" t="s">
        <v>8</v>
      </c>
      <c r="D6" s="11" t="s">
        <v>9</v>
      </c>
      <c r="E6" s="12" t="s">
        <v>10</v>
      </c>
      <c r="F6" s="11" t="s">
        <v>8</v>
      </c>
      <c r="G6" s="11" t="s">
        <v>9</v>
      </c>
      <c r="H6" s="11" t="s">
        <v>8</v>
      </c>
      <c r="I6" s="11" t="s">
        <v>9</v>
      </c>
      <c r="J6" s="11" t="s">
        <v>8</v>
      </c>
      <c r="K6" s="11" t="s">
        <v>9</v>
      </c>
      <c r="L6" s="11" t="s">
        <v>8</v>
      </c>
      <c r="M6" s="11" t="s">
        <v>9</v>
      </c>
      <c r="N6" s="11" t="s">
        <v>8</v>
      </c>
      <c r="O6" s="11" t="s">
        <v>9</v>
      </c>
      <c r="P6" s="11" t="s">
        <v>8</v>
      </c>
      <c r="Q6" s="11" t="s">
        <v>9</v>
      </c>
      <c r="R6" s="11" t="s">
        <v>8</v>
      </c>
      <c r="S6" s="11" t="s">
        <v>9</v>
      </c>
      <c r="T6" s="11" t="s">
        <v>8</v>
      </c>
      <c r="U6" s="11" t="s">
        <v>9</v>
      </c>
      <c r="V6" s="11" t="s">
        <v>8</v>
      </c>
      <c r="W6" s="11" t="s">
        <v>9</v>
      </c>
      <c r="X6" s="11" t="s">
        <v>8</v>
      </c>
      <c r="Y6" s="11" t="s">
        <v>9</v>
      </c>
      <c r="Z6" s="11" t="s">
        <v>8</v>
      </c>
      <c r="AA6" s="11" t="s">
        <v>9</v>
      </c>
      <c r="AB6" s="11" t="s">
        <v>8</v>
      </c>
      <c r="AC6" s="11" t="s">
        <v>9</v>
      </c>
      <c r="AD6" s="10"/>
      <c r="AE6" s="13"/>
      <c r="AF6" s="6"/>
    </row>
    <row r="7" spans="1:60" x14ac:dyDescent="0.2">
      <c r="A7" s="14">
        <v>1</v>
      </c>
      <c r="B7" s="15" t="s">
        <v>11</v>
      </c>
      <c r="C7" s="16">
        <f>F7+H7+J7+L7+N7+P7+R7+T7+V7+X7+Z7+AB7</f>
        <v>12968.9</v>
      </c>
      <c r="D7" s="16">
        <f>G7+I7+K7+M7+O7+Q7+S7+U7+W7+Y7+AA7+AC7</f>
        <v>9850.5</v>
      </c>
      <c r="E7" s="16">
        <f>D7/C7%</f>
        <v>75.954784137436491</v>
      </c>
      <c r="F7" s="16">
        <f t="shared" ref="F7:AC7" si="0">F9+F10+F11+F20+F25+F43</f>
        <v>3980.8999999999996</v>
      </c>
      <c r="G7" s="17">
        <f t="shared" si="0"/>
        <v>2422</v>
      </c>
      <c r="H7" s="16">
        <f t="shared" si="0"/>
        <v>4069.9</v>
      </c>
      <c r="I7" s="17">
        <f t="shared" si="0"/>
        <v>3670.2999999999993</v>
      </c>
      <c r="J7" s="16">
        <f t="shared" si="0"/>
        <v>4918.1000000000004</v>
      </c>
      <c r="K7" s="17">
        <f t="shared" si="0"/>
        <v>3758.2000000000003</v>
      </c>
      <c r="L7" s="16">
        <f>L9+L10+L11+L20+L25+L43</f>
        <v>0</v>
      </c>
      <c r="M7" s="16">
        <f t="shared" si="0"/>
        <v>0</v>
      </c>
      <c r="N7" s="16">
        <f t="shared" si="0"/>
        <v>0</v>
      </c>
      <c r="O7" s="17">
        <f t="shared" si="0"/>
        <v>0</v>
      </c>
      <c r="P7" s="16">
        <f t="shared" si="0"/>
        <v>0</v>
      </c>
      <c r="Q7" s="17">
        <f t="shared" si="0"/>
        <v>0</v>
      </c>
      <c r="R7" s="16">
        <f t="shared" si="0"/>
        <v>0</v>
      </c>
      <c r="S7" s="17">
        <f t="shared" si="0"/>
        <v>0</v>
      </c>
      <c r="T7" s="16">
        <f t="shared" si="0"/>
        <v>0</v>
      </c>
      <c r="U7" s="17">
        <f t="shared" si="0"/>
        <v>0</v>
      </c>
      <c r="V7" s="16">
        <f t="shared" si="0"/>
        <v>0</v>
      </c>
      <c r="W7" s="16">
        <f t="shared" si="0"/>
        <v>0</v>
      </c>
      <c r="X7" s="16">
        <f t="shared" si="0"/>
        <v>0</v>
      </c>
      <c r="Y7" s="17">
        <f t="shared" si="0"/>
        <v>0</v>
      </c>
      <c r="Z7" s="16">
        <f t="shared" si="0"/>
        <v>0</v>
      </c>
      <c r="AA7" s="17">
        <f t="shared" si="0"/>
        <v>0</v>
      </c>
      <c r="AB7" s="16">
        <f t="shared" si="0"/>
        <v>0</v>
      </c>
      <c r="AC7" s="17">
        <f t="shared" si="0"/>
        <v>0</v>
      </c>
      <c r="AD7" s="16">
        <f>C7-D7</f>
        <v>3118.3999999999996</v>
      </c>
      <c r="AE7" s="13"/>
      <c r="AF7" s="6"/>
    </row>
    <row r="8" spans="1:60" x14ac:dyDescent="0.2">
      <c r="A8" s="18"/>
      <c r="B8" s="19" t="s">
        <v>12</v>
      </c>
      <c r="C8" s="20"/>
      <c r="D8" s="20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2"/>
      <c r="AE8" s="13"/>
      <c r="AF8" s="6"/>
    </row>
    <row r="9" spans="1:60" s="26" customFormat="1" x14ac:dyDescent="0.2">
      <c r="A9" s="23" t="s">
        <v>13</v>
      </c>
      <c r="B9" s="24" t="s">
        <v>14</v>
      </c>
      <c r="C9" s="20">
        <f>F9+H9+J9+L9+N9+P9+R9+T9+V9+X9+Z9+AB9</f>
        <v>5875.4</v>
      </c>
      <c r="D9" s="20">
        <f>G9+I9+K9+M9+O9+Q9+S9+U9+W9+Y9+AA9+AC9</f>
        <v>5629.2</v>
      </c>
      <c r="E9" s="20">
        <f>D9/C9%</f>
        <v>95.809647002757259</v>
      </c>
      <c r="F9" s="21">
        <f>1860.8+104.5</f>
        <v>1965.3</v>
      </c>
      <c r="G9" s="21">
        <f>1469.1+103.9</f>
        <v>1573</v>
      </c>
      <c r="H9" s="21">
        <f>1836.7+101.5</f>
        <v>1938.2</v>
      </c>
      <c r="I9" s="21">
        <f>1932.8+102.1</f>
        <v>2034.8999999999999</v>
      </c>
      <c r="J9" s="21">
        <f>1864.3+107.6</f>
        <v>1971.8999999999999</v>
      </c>
      <c r="K9" s="21">
        <f>1935.2+86.1</f>
        <v>2021.3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2">
        <f>C9-D9</f>
        <v>246.19999999999982</v>
      </c>
      <c r="AE9" s="13"/>
      <c r="AF9" s="25"/>
    </row>
    <row r="10" spans="1:60" s="26" customFormat="1" x14ac:dyDescent="0.2">
      <c r="A10" s="23" t="s">
        <v>15</v>
      </c>
      <c r="B10" s="24" t="s">
        <v>16</v>
      </c>
      <c r="C10" s="20">
        <f t="shared" ref="C10:D55" si="1">F10+H10+J10+L10+N10+P10+R10+T10+V10+X10+Z10+AB10</f>
        <v>1288</v>
      </c>
      <c r="D10" s="20">
        <f t="shared" si="1"/>
        <v>1224</v>
      </c>
      <c r="E10" s="20">
        <f>D10/C10%</f>
        <v>95.031055900621112</v>
      </c>
      <c r="F10" s="21">
        <f>409.4+18.3</f>
        <v>427.7</v>
      </c>
      <c r="G10" s="21">
        <f>328+18.1</f>
        <v>346.1</v>
      </c>
      <c r="H10" s="21">
        <f>404.1+22.3</f>
        <v>426.40000000000003</v>
      </c>
      <c r="I10" s="21">
        <f>409.4+19.4</f>
        <v>428.79999999999995</v>
      </c>
      <c r="J10" s="21">
        <f>410.2+23.7</f>
        <v>433.9</v>
      </c>
      <c r="K10" s="21">
        <f>432+17.1</f>
        <v>449.1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2">
        <f>C10-D10</f>
        <v>64</v>
      </c>
    </row>
    <row r="11" spans="1:60" s="26" customFormat="1" x14ac:dyDescent="0.2">
      <c r="A11" s="23" t="s">
        <v>17</v>
      </c>
      <c r="B11" s="24" t="s">
        <v>18</v>
      </c>
      <c r="C11" s="20">
        <f t="shared" si="1"/>
        <v>3966.3</v>
      </c>
      <c r="D11" s="20">
        <f t="shared" si="1"/>
        <v>1527.1999999999998</v>
      </c>
      <c r="E11" s="20">
        <f>D11/C11%</f>
        <v>38.504399566346464</v>
      </c>
      <c r="F11" s="21">
        <f>SUM(F12:F19)</f>
        <v>1050.2</v>
      </c>
      <c r="G11" s="21">
        <f t="shared" ref="G11:R11" si="2">SUM(G12:G19)</f>
        <v>93.9</v>
      </c>
      <c r="H11" s="20">
        <f>SUM(H12:H19)</f>
        <v>1128.7</v>
      </c>
      <c r="I11" s="21">
        <f t="shared" si="2"/>
        <v>694.7</v>
      </c>
      <c r="J11" s="21">
        <f>SUM(J12:J19)</f>
        <v>1787.4</v>
      </c>
      <c r="K11" s="21">
        <f t="shared" si="2"/>
        <v>738.59999999999991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21">
        <f t="shared" si="2"/>
        <v>0</v>
      </c>
      <c r="Q11" s="21">
        <f t="shared" si="2"/>
        <v>0</v>
      </c>
      <c r="R11" s="21">
        <f t="shared" si="2"/>
        <v>0</v>
      </c>
      <c r="S11" s="21">
        <f>SUM(S12:S19)</f>
        <v>0</v>
      </c>
      <c r="T11" s="20">
        <f>SUM(T12:T19)</f>
        <v>0</v>
      </c>
      <c r="U11" s="21">
        <f>SUM(U12:U19)</f>
        <v>0</v>
      </c>
      <c r="V11" s="21">
        <f>SUM(V12:V19)</f>
        <v>0</v>
      </c>
      <c r="W11" s="20">
        <f>SUM(W12:W19)</f>
        <v>0</v>
      </c>
      <c r="X11" s="21">
        <f t="shared" ref="X11:AC11" si="3">SUM(X12:X19)</f>
        <v>0</v>
      </c>
      <c r="Y11" s="21">
        <f t="shared" si="3"/>
        <v>0</v>
      </c>
      <c r="Z11" s="21">
        <f t="shared" si="3"/>
        <v>0</v>
      </c>
      <c r="AA11" s="21">
        <f t="shared" si="3"/>
        <v>0</v>
      </c>
      <c r="AB11" s="21">
        <f t="shared" si="3"/>
        <v>0</v>
      </c>
      <c r="AC11" s="21">
        <f t="shared" si="3"/>
        <v>0</v>
      </c>
      <c r="AD11" s="22">
        <f>C11-D11</f>
        <v>2439.1000000000004</v>
      </c>
    </row>
    <row r="12" spans="1:60" s="26" customFormat="1" x14ac:dyDescent="0.2">
      <c r="A12" s="23"/>
      <c r="B12" s="24" t="s">
        <v>19</v>
      </c>
      <c r="C12" s="20"/>
      <c r="D12" s="20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2"/>
    </row>
    <row r="13" spans="1:60" s="26" customFormat="1" x14ac:dyDescent="0.2">
      <c r="A13" s="23" t="s">
        <v>20</v>
      </c>
      <c r="B13" s="24" t="s">
        <v>21</v>
      </c>
      <c r="C13" s="20">
        <f t="shared" ref="C13:D15" si="4">F13+H13+J13+L13+N13+P13+R13+T13+V13+X13+Z13+AB13</f>
        <v>1609.3</v>
      </c>
      <c r="D13" s="20">
        <f t="shared" si="4"/>
        <v>1399.5</v>
      </c>
      <c r="E13" s="20">
        <f>D13/C13%</f>
        <v>86.963275958491266</v>
      </c>
      <c r="F13" s="27">
        <f>673.6+11.2+11.4</f>
        <v>696.2</v>
      </c>
      <c r="G13" s="27">
        <v>93.9</v>
      </c>
      <c r="H13" s="27">
        <f>495.1+11.4</f>
        <v>506.5</v>
      </c>
      <c r="I13" s="27">
        <v>666.3</v>
      </c>
      <c r="J13" s="27">
        <f>357.4+37.8+11.4</f>
        <v>406.59999999999997</v>
      </c>
      <c r="K13" s="27">
        <f>639.3</f>
        <v>639.29999999999995</v>
      </c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2">
        <f>C13-D13</f>
        <v>209.79999999999995</v>
      </c>
    </row>
    <row r="14" spans="1:60" s="26" customFormat="1" x14ac:dyDescent="0.2">
      <c r="A14" s="23" t="s">
        <v>22</v>
      </c>
      <c r="B14" s="24" t="s">
        <v>23</v>
      </c>
      <c r="C14" s="20">
        <f t="shared" si="4"/>
        <v>786.9</v>
      </c>
      <c r="D14" s="20">
        <f t="shared" si="4"/>
        <v>81.600000000000009</v>
      </c>
      <c r="E14" s="20">
        <f>D14/C14%</f>
        <v>10.369805566145637</v>
      </c>
      <c r="F14" s="27">
        <f>12.1+21.7</f>
        <v>33.799999999999997</v>
      </c>
      <c r="G14" s="27"/>
      <c r="H14" s="27">
        <f>9.5+293+54.4</f>
        <v>356.9</v>
      </c>
      <c r="I14" s="27">
        <f>3.6+10.2+0.4</f>
        <v>14.2</v>
      </c>
      <c r="J14" s="27">
        <f>373.4+22.8</f>
        <v>396.2</v>
      </c>
      <c r="K14" s="27">
        <f>66.4+0.6+0.4</f>
        <v>67.400000000000006</v>
      </c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2">
        <f t="shared" ref="AD14:AD20" si="5">C14-D14</f>
        <v>705.3</v>
      </c>
    </row>
    <row r="15" spans="1:60" s="26" customFormat="1" x14ac:dyDescent="0.2">
      <c r="A15" s="23" t="s">
        <v>24</v>
      </c>
      <c r="B15" s="24" t="s">
        <v>25</v>
      </c>
      <c r="C15" s="20">
        <f t="shared" si="4"/>
        <v>0</v>
      </c>
      <c r="D15" s="20">
        <f t="shared" si="4"/>
        <v>0</v>
      </c>
      <c r="E15" s="20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2">
        <f t="shared" si="5"/>
        <v>0</v>
      </c>
    </row>
    <row r="16" spans="1:60" s="26" customFormat="1" x14ac:dyDescent="0.2">
      <c r="A16" s="23" t="s">
        <v>26</v>
      </c>
      <c r="B16" s="24" t="s">
        <v>27</v>
      </c>
      <c r="C16" s="20">
        <f t="shared" si="1"/>
        <v>1021.2</v>
      </c>
      <c r="D16" s="20">
        <f>G16+I16+K16+M16+O16+Q16+S16+U16+W16+Y16+AA16+AC16</f>
        <v>46.099999999999994</v>
      </c>
      <c r="E16" s="20">
        <f>D16/C16%</f>
        <v>4.5142969056012534</v>
      </c>
      <c r="F16" s="27">
        <v>320.2</v>
      </c>
      <c r="G16" s="27"/>
      <c r="H16" s="27">
        <v>265.3</v>
      </c>
      <c r="I16" s="27">
        <v>14.2</v>
      </c>
      <c r="J16" s="27">
        <v>435.7</v>
      </c>
      <c r="K16" s="27">
        <v>31.9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2">
        <f t="shared" si="5"/>
        <v>975.1</v>
      </c>
    </row>
    <row r="17" spans="1:30" s="26" customFormat="1" x14ac:dyDescent="0.2">
      <c r="A17" s="23" t="s">
        <v>28</v>
      </c>
      <c r="B17" s="24" t="s">
        <v>29</v>
      </c>
      <c r="C17" s="20">
        <f t="shared" si="1"/>
        <v>548.9</v>
      </c>
      <c r="D17" s="20">
        <f>G17+I17+K17+M17+O17+Q17+S17+U17+W17+Y17+AA17+AC17</f>
        <v>0</v>
      </c>
      <c r="E17" s="20">
        <f t="shared" ref="E17:E18" si="6">D17/C17%</f>
        <v>0</v>
      </c>
      <c r="F17" s="27"/>
      <c r="G17" s="27"/>
      <c r="H17" s="27"/>
      <c r="I17" s="27"/>
      <c r="J17" s="27">
        <v>548.9</v>
      </c>
      <c r="K17" s="28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2">
        <f t="shared" si="5"/>
        <v>548.9</v>
      </c>
    </row>
    <row r="18" spans="1:30" s="26" customFormat="1" x14ac:dyDescent="0.2">
      <c r="A18" s="23" t="s">
        <v>30</v>
      </c>
      <c r="B18" s="24" t="s">
        <v>31</v>
      </c>
      <c r="C18" s="20">
        <f>F18+H18+J18+L18+N18+P18+R18+T18+V18+X18+Z18+AB18</f>
        <v>0</v>
      </c>
      <c r="D18" s="20">
        <f t="shared" si="1"/>
        <v>0</v>
      </c>
      <c r="E18" s="20" t="e">
        <f t="shared" si="6"/>
        <v>#DIV/0!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2">
        <f>C18-D18</f>
        <v>0</v>
      </c>
    </row>
    <row r="19" spans="1:30" s="26" customFormat="1" ht="19.5" customHeight="1" x14ac:dyDescent="0.2">
      <c r="A19" s="23" t="s">
        <v>32</v>
      </c>
      <c r="B19" s="24" t="s">
        <v>33</v>
      </c>
      <c r="C19" s="20">
        <f t="shared" si="1"/>
        <v>0</v>
      </c>
      <c r="D19" s="20">
        <f t="shared" si="1"/>
        <v>0</v>
      </c>
      <c r="E19" s="20"/>
      <c r="F19" s="27"/>
      <c r="G19" s="27"/>
      <c r="H19" s="27"/>
      <c r="I19" s="27"/>
      <c r="J19" s="27"/>
      <c r="K19" s="27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7"/>
      <c r="AD19" s="22">
        <f t="shared" si="5"/>
        <v>0</v>
      </c>
    </row>
    <row r="20" spans="1:30" s="26" customFormat="1" x14ac:dyDescent="0.2">
      <c r="A20" s="23" t="s">
        <v>34</v>
      </c>
      <c r="B20" s="24" t="s">
        <v>35</v>
      </c>
      <c r="C20" s="20">
        <f t="shared" si="1"/>
        <v>316.79999999999995</v>
      </c>
      <c r="D20" s="20">
        <f t="shared" si="1"/>
        <v>118.99999999999999</v>
      </c>
      <c r="E20" s="20">
        <f>D20/C20%</f>
        <v>37.563131313131315</v>
      </c>
      <c r="F20" s="21">
        <f>SUM(F22:F24)</f>
        <v>70.599999999999994</v>
      </c>
      <c r="G20" s="21">
        <f t="shared" ref="G20:T20" si="7">SUM(G22:G24)</f>
        <v>0</v>
      </c>
      <c r="H20" s="21">
        <f t="shared" si="7"/>
        <v>113.60000000000001</v>
      </c>
      <c r="I20" s="21">
        <f t="shared" si="7"/>
        <v>105.19999999999999</v>
      </c>
      <c r="J20" s="21">
        <f t="shared" si="7"/>
        <v>132.6</v>
      </c>
      <c r="K20" s="21">
        <f t="shared" si="7"/>
        <v>13.8</v>
      </c>
      <c r="L20" s="21">
        <f t="shared" si="7"/>
        <v>0</v>
      </c>
      <c r="M20" s="21">
        <f t="shared" si="7"/>
        <v>0</v>
      </c>
      <c r="N20" s="21">
        <f>SUM(N22:N24)</f>
        <v>0</v>
      </c>
      <c r="O20" s="21">
        <f>SUM(O22:O24)</f>
        <v>0</v>
      </c>
      <c r="P20" s="21">
        <f t="shared" si="7"/>
        <v>0</v>
      </c>
      <c r="Q20" s="21">
        <f t="shared" si="7"/>
        <v>0</v>
      </c>
      <c r="R20" s="21">
        <f t="shared" si="7"/>
        <v>0</v>
      </c>
      <c r="S20" s="21">
        <f t="shared" si="7"/>
        <v>0</v>
      </c>
      <c r="T20" s="21">
        <f t="shared" si="7"/>
        <v>0</v>
      </c>
      <c r="U20" s="21">
        <f>SUM(U22:U24)</f>
        <v>0</v>
      </c>
      <c r="V20" s="21">
        <f>SUM(V22:V24)</f>
        <v>0</v>
      </c>
      <c r="W20" s="21">
        <f>SUM(W22:W24)</f>
        <v>0</v>
      </c>
      <c r="X20" s="21">
        <f t="shared" ref="X20:AC20" si="8">SUM(X22:X24)</f>
        <v>0</v>
      </c>
      <c r="Y20" s="21">
        <f t="shared" si="8"/>
        <v>0</v>
      </c>
      <c r="Z20" s="21">
        <f t="shared" si="8"/>
        <v>0</v>
      </c>
      <c r="AA20" s="21">
        <f t="shared" si="8"/>
        <v>0</v>
      </c>
      <c r="AB20" s="21">
        <f t="shared" si="8"/>
        <v>0</v>
      </c>
      <c r="AC20" s="21">
        <f t="shared" si="8"/>
        <v>0</v>
      </c>
      <c r="AD20" s="22">
        <f t="shared" si="5"/>
        <v>197.79999999999995</v>
      </c>
    </row>
    <row r="21" spans="1:30" s="26" customFormat="1" x14ac:dyDescent="0.2">
      <c r="A21" s="23"/>
      <c r="B21" s="24" t="s">
        <v>19</v>
      </c>
      <c r="C21" s="20"/>
      <c r="D21" s="20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2"/>
    </row>
    <row r="22" spans="1:30" s="31" customFormat="1" x14ac:dyDescent="0.3">
      <c r="A22" s="23" t="s">
        <v>36</v>
      </c>
      <c r="B22" s="30" t="s">
        <v>37</v>
      </c>
      <c r="C22" s="20">
        <f t="shared" si="1"/>
        <v>106.1</v>
      </c>
      <c r="D22" s="20">
        <f t="shared" si="1"/>
        <v>0</v>
      </c>
      <c r="E22" s="20">
        <f>D22/C22%</f>
        <v>0</v>
      </c>
      <c r="F22" s="27">
        <v>21</v>
      </c>
      <c r="G22" s="27"/>
      <c r="H22" s="27">
        <v>49.1</v>
      </c>
      <c r="I22" s="27"/>
      <c r="J22" s="27">
        <v>36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2">
        <f>C22-D22</f>
        <v>106.1</v>
      </c>
    </row>
    <row r="23" spans="1:30" s="31" customFormat="1" x14ac:dyDescent="0.3">
      <c r="A23" s="23" t="s">
        <v>38</v>
      </c>
      <c r="B23" s="30" t="s">
        <v>39</v>
      </c>
      <c r="C23" s="20">
        <f t="shared" si="1"/>
        <v>166.89999999999998</v>
      </c>
      <c r="D23" s="20">
        <f t="shared" si="1"/>
        <v>93.3</v>
      </c>
      <c r="E23" s="20">
        <f>D23/C23%</f>
        <v>55.90173756740564</v>
      </c>
      <c r="F23" s="27">
        <f>40.6+0.8</f>
        <v>41.4</v>
      </c>
      <c r="G23" s="27"/>
      <c r="H23" s="27">
        <f>33.1+19.7</f>
        <v>52.8</v>
      </c>
      <c r="I23" s="27">
        <f>73.7+14.1</f>
        <v>87.8</v>
      </c>
      <c r="J23" s="27">
        <f>52.8+19.9</f>
        <v>72.699999999999989</v>
      </c>
      <c r="K23" s="27">
        <v>5.5</v>
      </c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2">
        <f>C23-D23</f>
        <v>73.59999999999998</v>
      </c>
    </row>
    <row r="24" spans="1:30" s="31" customFormat="1" x14ac:dyDescent="0.3">
      <c r="A24" s="23" t="s">
        <v>40</v>
      </c>
      <c r="B24" s="30" t="s">
        <v>41</v>
      </c>
      <c r="C24" s="20">
        <f t="shared" si="1"/>
        <v>43.800000000000004</v>
      </c>
      <c r="D24" s="20">
        <f t="shared" si="1"/>
        <v>25.7</v>
      </c>
      <c r="E24" s="20">
        <f>D24/C24%</f>
        <v>58.675799086757984</v>
      </c>
      <c r="F24" s="27">
        <f>7.9+0.3</f>
        <v>8.2000000000000011</v>
      </c>
      <c r="G24" s="27"/>
      <c r="H24" s="27">
        <f>11.3+0.4</f>
        <v>11.700000000000001</v>
      </c>
      <c r="I24" s="27">
        <f>16.9+0.5</f>
        <v>17.399999999999999</v>
      </c>
      <c r="J24" s="27">
        <f>23.1+0.8</f>
        <v>23.900000000000002</v>
      </c>
      <c r="K24" s="27">
        <f>8+0.3</f>
        <v>8.3000000000000007</v>
      </c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2">
        <f>C24-D24</f>
        <v>18.100000000000005</v>
      </c>
    </row>
    <row r="25" spans="1:30" s="31" customFormat="1" x14ac:dyDescent="0.25">
      <c r="A25" s="23" t="s">
        <v>42</v>
      </c>
      <c r="B25" s="24" t="s">
        <v>43</v>
      </c>
      <c r="C25" s="20">
        <f>F25+H25+J25+L25+N25+P25+R25+T25+V25+X25+Z25+AB25</f>
        <v>343.4</v>
      </c>
      <c r="D25" s="20">
        <f>G25+I25+K25+M25+O25+Q25+S25+U25+W25+Y25+AA25+AC25</f>
        <v>183.99999999999997</v>
      </c>
      <c r="E25" s="20">
        <f>D25/C25%</f>
        <v>53.581828771112399</v>
      </c>
      <c r="F25" s="21">
        <f>SUM(F27:F42)</f>
        <v>74.099999999999994</v>
      </c>
      <c r="G25" s="21">
        <f t="shared" ref="G25:K25" si="9">SUM(G27:G42)</f>
        <v>25</v>
      </c>
      <c r="H25" s="21">
        <f t="shared" si="9"/>
        <v>70</v>
      </c>
      <c r="I25" s="21">
        <f t="shared" si="9"/>
        <v>23</v>
      </c>
      <c r="J25" s="21">
        <f t="shared" si="9"/>
        <v>199.29999999999998</v>
      </c>
      <c r="K25" s="21">
        <f t="shared" si="9"/>
        <v>135.99999999999997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2">
        <f>C25-D25</f>
        <v>159.4</v>
      </c>
    </row>
    <row r="26" spans="1:30" s="31" customFormat="1" x14ac:dyDescent="0.25">
      <c r="A26" s="23"/>
      <c r="B26" s="24" t="s">
        <v>19</v>
      </c>
      <c r="C26" s="20"/>
      <c r="D26" s="20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2"/>
    </row>
    <row r="27" spans="1:30" s="31" customFormat="1" x14ac:dyDescent="0.25">
      <c r="A27" s="23" t="s">
        <v>44</v>
      </c>
      <c r="B27" s="24" t="s">
        <v>45</v>
      </c>
      <c r="C27" s="20">
        <f>F27+H27+J27+L27+N27+P27+R27+T27+V27+X27+Z27+AB27</f>
        <v>10</v>
      </c>
      <c r="D27" s="20">
        <f>G27+I27+K27+M27+O27+Q27+S27+U27+W27+Y27+AA27+AC27</f>
        <v>0</v>
      </c>
      <c r="E27" s="20">
        <f>D27/C27%</f>
        <v>0</v>
      </c>
      <c r="F27" s="27">
        <v>5</v>
      </c>
      <c r="G27" s="27"/>
      <c r="H27" s="27">
        <v>1</v>
      </c>
      <c r="I27" s="27"/>
      <c r="J27" s="27">
        <v>4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2">
        <f>C27-D27</f>
        <v>10</v>
      </c>
    </row>
    <row r="28" spans="1:30" s="31" customFormat="1" x14ac:dyDescent="0.25">
      <c r="A28" s="23" t="s">
        <v>46</v>
      </c>
      <c r="B28" s="24" t="s">
        <v>47</v>
      </c>
      <c r="C28" s="20">
        <f>F28+H28+J28+L28+N28+P28+R28+T28+V28+X28+Z28+AB28</f>
        <v>41.6</v>
      </c>
      <c r="D28" s="20">
        <f>G28+I28+K28+M28+O28+Q28+S28+U28+W28+Y28+AA28+AC28</f>
        <v>27.6</v>
      </c>
      <c r="E28" s="20">
        <f>D28/C28%</f>
        <v>66.34615384615384</v>
      </c>
      <c r="F28" s="27">
        <v>13.9</v>
      </c>
      <c r="G28" s="27"/>
      <c r="H28" s="27">
        <v>13.8</v>
      </c>
      <c r="I28" s="27">
        <v>13.8</v>
      </c>
      <c r="J28" s="27">
        <v>13.9</v>
      </c>
      <c r="K28" s="27">
        <v>13.8</v>
      </c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2">
        <f>C28-D28</f>
        <v>14</v>
      </c>
    </row>
    <row r="29" spans="1:30" s="31" customFormat="1" x14ac:dyDescent="0.25">
      <c r="A29" s="23" t="s">
        <v>48</v>
      </c>
      <c r="B29" s="24" t="s">
        <v>49</v>
      </c>
      <c r="C29" s="20">
        <f t="shared" si="1"/>
        <v>93</v>
      </c>
      <c r="D29" s="20">
        <f t="shared" si="1"/>
        <v>0</v>
      </c>
      <c r="E29" s="20">
        <f>D29/C29%</f>
        <v>0</v>
      </c>
      <c r="F29" s="27"/>
      <c r="G29" s="27"/>
      <c r="H29" s="27"/>
      <c r="I29" s="27"/>
      <c r="J29" s="27">
        <v>93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2">
        <f t="shared" ref="AD29:AD43" si="10">C29-D29</f>
        <v>93</v>
      </c>
    </row>
    <row r="30" spans="1:30" s="31" customFormat="1" ht="18.75" customHeight="1" x14ac:dyDescent="0.25">
      <c r="A30" s="23" t="s">
        <v>50</v>
      </c>
      <c r="B30" s="24" t="s">
        <v>51</v>
      </c>
      <c r="C30" s="20">
        <f t="shared" si="1"/>
        <v>17.299999999999997</v>
      </c>
      <c r="D30" s="20">
        <f t="shared" si="1"/>
        <v>12.4</v>
      </c>
      <c r="E30" s="20">
        <f t="shared" ref="E30:E43" si="11">D30/C30%</f>
        <v>71.676300578034699</v>
      </c>
      <c r="F30" s="27">
        <v>7.1</v>
      </c>
      <c r="G30" s="27"/>
      <c r="H30" s="27">
        <v>5.0999999999999996</v>
      </c>
      <c r="I30" s="27">
        <v>6.2</v>
      </c>
      <c r="J30" s="27">
        <v>5.0999999999999996</v>
      </c>
      <c r="K30" s="27">
        <v>6.2</v>
      </c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2">
        <f t="shared" si="10"/>
        <v>4.8999999999999968</v>
      </c>
    </row>
    <row r="31" spans="1:30" s="31" customFormat="1" ht="20.25" customHeight="1" x14ac:dyDescent="0.25">
      <c r="A31" s="23" t="s">
        <v>52</v>
      </c>
      <c r="B31" s="24" t="s">
        <v>53</v>
      </c>
      <c r="C31" s="20">
        <f t="shared" si="1"/>
        <v>77.400000000000006</v>
      </c>
      <c r="D31" s="20">
        <f t="shared" si="1"/>
        <v>59.1</v>
      </c>
      <c r="E31" s="20">
        <f t="shared" si="11"/>
        <v>76.356589147286826</v>
      </c>
      <c r="F31" s="27">
        <v>16.100000000000001</v>
      </c>
      <c r="G31" s="27"/>
      <c r="H31" s="27">
        <v>34.1</v>
      </c>
      <c r="I31" s="27"/>
      <c r="J31" s="27">
        <v>27.2</v>
      </c>
      <c r="K31" s="27">
        <v>59.1</v>
      </c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2">
        <f t="shared" si="10"/>
        <v>18.300000000000004</v>
      </c>
    </row>
    <row r="32" spans="1:30" s="31" customFormat="1" ht="22.5" customHeight="1" x14ac:dyDescent="0.25">
      <c r="A32" s="23" t="s">
        <v>54</v>
      </c>
      <c r="B32" s="24" t="s">
        <v>55</v>
      </c>
      <c r="C32" s="20">
        <f t="shared" si="1"/>
        <v>7</v>
      </c>
      <c r="D32" s="20">
        <f t="shared" si="1"/>
        <v>5.8</v>
      </c>
      <c r="E32" s="20">
        <f t="shared" si="11"/>
        <v>82.857142857142847</v>
      </c>
      <c r="F32" s="27"/>
      <c r="G32" s="27"/>
      <c r="H32" s="27">
        <v>7</v>
      </c>
      <c r="I32" s="27"/>
      <c r="J32" s="27"/>
      <c r="K32" s="27">
        <v>5.8</v>
      </c>
      <c r="L32" s="27"/>
      <c r="M32" s="27"/>
      <c r="N32" s="27"/>
      <c r="O32" s="27"/>
      <c r="P32" s="28"/>
      <c r="Q32" s="28"/>
      <c r="R32" s="27"/>
      <c r="S32" s="28"/>
      <c r="T32" s="28"/>
      <c r="U32" s="27"/>
      <c r="V32" s="27"/>
      <c r="W32" s="27"/>
      <c r="X32" s="27"/>
      <c r="Y32" s="27"/>
      <c r="Z32" s="27"/>
      <c r="AA32" s="27"/>
      <c r="AB32" s="27"/>
      <c r="AC32" s="27"/>
      <c r="AD32" s="22">
        <f t="shared" si="10"/>
        <v>1.2000000000000002</v>
      </c>
    </row>
    <row r="33" spans="1:30" s="31" customFormat="1" ht="19.5" customHeight="1" x14ac:dyDescent="0.25">
      <c r="A33" s="23" t="s">
        <v>56</v>
      </c>
      <c r="B33" s="24" t="s">
        <v>57</v>
      </c>
      <c r="C33" s="20">
        <f t="shared" si="1"/>
        <v>0</v>
      </c>
      <c r="D33" s="20">
        <f t="shared" si="1"/>
        <v>0</v>
      </c>
      <c r="E33" s="20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2">
        <f t="shared" si="10"/>
        <v>0</v>
      </c>
    </row>
    <row r="34" spans="1:30" s="31" customFormat="1" ht="19.5" customHeight="1" x14ac:dyDescent="0.25">
      <c r="A34" s="23" t="s">
        <v>58</v>
      </c>
      <c r="B34" s="24" t="s">
        <v>59</v>
      </c>
      <c r="C34" s="20">
        <f t="shared" si="1"/>
        <v>0</v>
      </c>
      <c r="D34" s="20">
        <f t="shared" si="1"/>
        <v>0</v>
      </c>
      <c r="E34" s="20" t="e">
        <f t="shared" si="11"/>
        <v>#DIV/0!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2">
        <f t="shared" si="10"/>
        <v>0</v>
      </c>
    </row>
    <row r="35" spans="1:30" s="31" customFormat="1" ht="19.5" customHeight="1" x14ac:dyDescent="0.25">
      <c r="A35" s="23" t="s">
        <v>60</v>
      </c>
      <c r="B35" s="24" t="s">
        <v>61</v>
      </c>
      <c r="C35" s="20">
        <f t="shared" si="1"/>
        <v>25</v>
      </c>
      <c r="D35" s="20">
        <f t="shared" si="1"/>
        <v>25</v>
      </c>
      <c r="E35" s="20">
        <f t="shared" si="11"/>
        <v>100</v>
      </c>
      <c r="F35" s="27">
        <v>25</v>
      </c>
      <c r="G35" s="27">
        <v>25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8"/>
      <c r="T35" s="28"/>
      <c r="U35" s="27"/>
      <c r="V35" s="27"/>
      <c r="W35" s="27"/>
      <c r="X35" s="27"/>
      <c r="Y35" s="27"/>
      <c r="Z35" s="27"/>
      <c r="AA35" s="27"/>
      <c r="AB35" s="27"/>
      <c r="AC35" s="27"/>
      <c r="AD35" s="22">
        <f t="shared" si="10"/>
        <v>0</v>
      </c>
    </row>
    <row r="36" spans="1:30" s="31" customFormat="1" ht="19.5" customHeight="1" x14ac:dyDescent="0.25">
      <c r="A36" s="23" t="s">
        <v>62</v>
      </c>
      <c r="B36" s="24" t="s">
        <v>63</v>
      </c>
      <c r="C36" s="20">
        <f t="shared" si="1"/>
        <v>0</v>
      </c>
      <c r="D36" s="20">
        <f t="shared" si="1"/>
        <v>0</v>
      </c>
      <c r="E36" s="20" t="e">
        <f t="shared" si="11"/>
        <v>#DIV/0!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2">
        <f t="shared" si="10"/>
        <v>0</v>
      </c>
    </row>
    <row r="37" spans="1:30" s="31" customFormat="1" ht="19.5" customHeight="1" x14ac:dyDescent="0.25">
      <c r="A37" s="23" t="s">
        <v>64</v>
      </c>
      <c r="B37" s="24" t="s">
        <v>65</v>
      </c>
      <c r="C37" s="20">
        <f t="shared" si="1"/>
        <v>49</v>
      </c>
      <c r="D37" s="20">
        <f t="shared" si="1"/>
        <v>49</v>
      </c>
      <c r="E37" s="20">
        <f t="shared" si="11"/>
        <v>100</v>
      </c>
      <c r="F37" s="27"/>
      <c r="G37" s="27"/>
      <c r="H37" s="27"/>
      <c r="I37" s="27"/>
      <c r="J37" s="27">
        <v>49</v>
      </c>
      <c r="K37" s="27">
        <v>49</v>
      </c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2">
        <f t="shared" si="10"/>
        <v>0</v>
      </c>
    </row>
    <row r="38" spans="1:30" s="31" customFormat="1" ht="35.25" customHeight="1" x14ac:dyDescent="0.25">
      <c r="A38" s="23" t="s">
        <v>66</v>
      </c>
      <c r="B38" s="24" t="s">
        <v>67</v>
      </c>
      <c r="C38" s="20">
        <f t="shared" si="1"/>
        <v>0</v>
      </c>
      <c r="D38" s="20">
        <f t="shared" si="1"/>
        <v>0</v>
      </c>
      <c r="E38" s="20" t="e">
        <f t="shared" si="11"/>
        <v>#DIV/0!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2">
        <f t="shared" si="10"/>
        <v>0</v>
      </c>
    </row>
    <row r="39" spans="1:30" s="31" customFormat="1" ht="19.5" customHeight="1" x14ac:dyDescent="0.25">
      <c r="A39" s="23" t="s">
        <v>68</v>
      </c>
      <c r="B39" s="24" t="s">
        <v>69</v>
      </c>
      <c r="C39" s="20">
        <f t="shared" si="1"/>
        <v>0</v>
      </c>
      <c r="D39" s="20">
        <f t="shared" si="1"/>
        <v>0</v>
      </c>
      <c r="E39" s="20" t="e">
        <f t="shared" si="11"/>
        <v>#DIV/0!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32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2">
        <f>C39-D39</f>
        <v>0</v>
      </c>
    </row>
    <row r="40" spans="1:30" s="31" customFormat="1" ht="19.5" customHeight="1" x14ac:dyDescent="0.25">
      <c r="A40" s="23" t="s">
        <v>70</v>
      </c>
      <c r="B40" s="24" t="s">
        <v>71</v>
      </c>
      <c r="C40" s="20">
        <f t="shared" si="1"/>
        <v>0</v>
      </c>
      <c r="D40" s="20">
        <f t="shared" si="1"/>
        <v>0</v>
      </c>
      <c r="E40" s="20" t="e">
        <f t="shared" si="11"/>
        <v>#DIV/0!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32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2">
        <f t="shared" ref="AD40:AD42" si="12">C40-D40</f>
        <v>0</v>
      </c>
    </row>
    <row r="41" spans="1:30" s="31" customFormat="1" ht="19.5" customHeight="1" x14ac:dyDescent="0.25">
      <c r="A41" s="23" t="s">
        <v>72</v>
      </c>
      <c r="B41" s="24" t="s">
        <v>73</v>
      </c>
      <c r="C41" s="20">
        <f t="shared" si="1"/>
        <v>18.600000000000001</v>
      </c>
      <c r="D41" s="20">
        <f t="shared" si="1"/>
        <v>5.0999999999999996</v>
      </c>
      <c r="E41" s="20">
        <f t="shared" si="11"/>
        <v>27.419354838709673</v>
      </c>
      <c r="F41" s="27">
        <f>1.8+0.5+3.2</f>
        <v>5.5</v>
      </c>
      <c r="G41" s="27"/>
      <c r="H41" s="27">
        <f>1.9+2.4+3.2</f>
        <v>7.5</v>
      </c>
      <c r="I41" s="27">
        <v>3</v>
      </c>
      <c r="J41" s="27">
        <f>1.2+1+3.4</f>
        <v>5.6</v>
      </c>
      <c r="K41" s="27">
        <v>2.1</v>
      </c>
      <c r="L41" s="27"/>
      <c r="M41" s="27"/>
      <c r="N41" s="27"/>
      <c r="O41" s="27"/>
      <c r="P41" s="32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2">
        <f t="shared" si="12"/>
        <v>13.500000000000002</v>
      </c>
    </row>
    <row r="42" spans="1:30" s="31" customFormat="1" ht="37.5" x14ac:dyDescent="0.25">
      <c r="A42" s="23" t="s">
        <v>74</v>
      </c>
      <c r="B42" s="24" t="s">
        <v>75</v>
      </c>
      <c r="C42" s="20">
        <f t="shared" si="1"/>
        <v>4.5</v>
      </c>
      <c r="D42" s="20">
        <f t="shared" si="1"/>
        <v>0</v>
      </c>
      <c r="E42" s="20">
        <f>D42/C42%</f>
        <v>0</v>
      </c>
      <c r="F42" s="27">
        <v>1.5</v>
      </c>
      <c r="G42" s="27"/>
      <c r="H42" s="27">
        <v>1.5</v>
      </c>
      <c r="I42" s="27"/>
      <c r="J42" s="27">
        <v>1.5</v>
      </c>
      <c r="K42" s="27"/>
      <c r="L42" s="27"/>
      <c r="M42" s="27"/>
      <c r="N42" s="27"/>
      <c r="O42" s="27"/>
      <c r="P42" s="32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2">
        <f t="shared" si="12"/>
        <v>4.5</v>
      </c>
    </row>
    <row r="43" spans="1:30" s="31" customFormat="1" x14ac:dyDescent="0.25">
      <c r="A43" s="23" t="s">
        <v>76</v>
      </c>
      <c r="B43" s="24" t="s">
        <v>77</v>
      </c>
      <c r="C43" s="20">
        <f t="shared" si="1"/>
        <v>1179</v>
      </c>
      <c r="D43" s="20">
        <f t="shared" si="1"/>
        <v>1167.0999999999999</v>
      </c>
      <c r="E43" s="20">
        <f t="shared" si="11"/>
        <v>98.990670059372349</v>
      </c>
      <c r="F43" s="21">
        <f>SUM(F44:F46)</f>
        <v>393</v>
      </c>
      <c r="G43" s="21">
        <f t="shared" ref="G43:AC43" si="13">SUM(G44:G46)</f>
        <v>384</v>
      </c>
      <c r="H43" s="21">
        <f t="shared" si="13"/>
        <v>393</v>
      </c>
      <c r="I43" s="21">
        <f t="shared" si="13"/>
        <v>383.7</v>
      </c>
      <c r="J43" s="21">
        <f t="shared" si="13"/>
        <v>393</v>
      </c>
      <c r="K43" s="21">
        <f t="shared" si="13"/>
        <v>399.4</v>
      </c>
      <c r="L43" s="21">
        <f t="shared" si="13"/>
        <v>0</v>
      </c>
      <c r="M43" s="21">
        <f t="shared" si="13"/>
        <v>0</v>
      </c>
      <c r="N43" s="21">
        <f t="shared" si="13"/>
        <v>0</v>
      </c>
      <c r="O43" s="21">
        <f t="shared" si="13"/>
        <v>0</v>
      </c>
      <c r="P43" s="21">
        <f t="shared" si="13"/>
        <v>0</v>
      </c>
      <c r="Q43" s="21">
        <f t="shared" si="13"/>
        <v>0</v>
      </c>
      <c r="R43" s="21">
        <f t="shared" si="13"/>
        <v>0</v>
      </c>
      <c r="S43" s="21">
        <f t="shared" si="13"/>
        <v>0</v>
      </c>
      <c r="T43" s="21">
        <f t="shared" si="13"/>
        <v>0</v>
      </c>
      <c r="U43" s="21">
        <f t="shared" si="13"/>
        <v>0</v>
      </c>
      <c r="V43" s="21">
        <f t="shared" si="13"/>
        <v>0</v>
      </c>
      <c r="W43" s="21">
        <f t="shared" si="13"/>
        <v>0</v>
      </c>
      <c r="X43" s="21">
        <f t="shared" si="13"/>
        <v>0</v>
      </c>
      <c r="Y43" s="21">
        <f t="shared" si="13"/>
        <v>0</v>
      </c>
      <c r="Z43" s="21">
        <f t="shared" si="13"/>
        <v>0</v>
      </c>
      <c r="AA43" s="21">
        <f t="shared" si="13"/>
        <v>0</v>
      </c>
      <c r="AB43" s="21">
        <f t="shared" si="13"/>
        <v>0</v>
      </c>
      <c r="AC43" s="21">
        <f t="shared" si="13"/>
        <v>0</v>
      </c>
      <c r="AD43" s="22">
        <f t="shared" si="10"/>
        <v>11.900000000000091</v>
      </c>
    </row>
    <row r="44" spans="1:30" s="31" customFormat="1" x14ac:dyDescent="0.25">
      <c r="A44" s="23"/>
      <c r="B44" s="24" t="s">
        <v>12</v>
      </c>
      <c r="C44" s="20"/>
      <c r="D44" s="20"/>
      <c r="E44" s="20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2"/>
    </row>
    <row r="45" spans="1:30" s="31" customFormat="1" x14ac:dyDescent="0.25">
      <c r="A45" s="23" t="s">
        <v>78</v>
      </c>
      <c r="B45" s="24" t="s">
        <v>79</v>
      </c>
      <c r="C45" s="20">
        <f t="shared" si="1"/>
        <v>1179</v>
      </c>
      <c r="D45" s="20">
        <f t="shared" si="1"/>
        <v>1167.0999999999999</v>
      </c>
      <c r="E45" s="20">
        <f>D45/C45%</f>
        <v>98.990670059372349</v>
      </c>
      <c r="F45" s="27">
        <f>378.4+14.6</f>
        <v>393</v>
      </c>
      <c r="G45" s="27">
        <f>370+14</f>
        <v>384</v>
      </c>
      <c r="H45" s="27">
        <f>378.4+14.6</f>
        <v>393</v>
      </c>
      <c r="I45" s="27">
        <f>375+8.7</f>
        <v>383.7</v>
      </c>
      <c r="J45" s="27">
        <f>378.4+14.6</f>
        <v>393</v>
      </c>
      <c r="K45" s="27">
        <f>378.4+21</f>
        <v>399.4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2">
        <f>C45-D45</f>
        <v>11.900000000000091</v>
      </c>
    </row>
    <row r="46" spans="1:30" s="33" customFormat="1" ht="19.5" hidden="1" customHeight="1" x14ac:dyDescent="0.25">
      <c r="A46" s="18" t="s">
        <v>80</v>
      </c>
      <c r="B46" s="24" t="s">
        <v>81</v>
      </c>
      <c r="C46" s="20">
        <f t="shared" si="1"/>
        <v>0</v>
      </c>
      <c r="D46" s="20">
        <f t="shared" si="1"/>
        <v>0</v>
      </c>
      <c r="E46" s="20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0">
        <f>C46-D46</f>
        <v>0</v>
      </c>
    </row>
    <row r="47" spans="1:30" s="33" customFormat="1" ht="18" customHeight="1" x14ac:dyDescent="0.25">
      <c r="A47" s="14" t="s">
        <v>82</v>
      </c>
      <c r="B47" s="15" t="s">
        <v>83</v>
      </c>
      <c r="C47" s="16">
        <f>F47+H47+J47+L47+N47+P47+R47+T47+V47+X47+Z47+AB47</f>
        <v>300</v>
      </c>
      <c r="D47" s="16">
        <f>G47+I47+K47+M47+O47+Q47+S47+U47+W47+Y47+AA47+AC47</f>
        <v>0</v>
      </c>
      <c r="E47" s="16">
        <f>D47/C47%</f>
        <v>0</v>
      </c>
      <c r="F47" s="17">
        <f t="shared" ref="F47:AC47" si="14">SUM(F49:F58)</f>
        <v>140.9</v>
      </c>
      <c r="G47" s="17">
        <f t="shared" si="14"/>
        <v>0</v>
      </c>
      <c r="H47" s="17">
        <f t="shared" si="14"/>
        <v>37.9</v>
      </c>
      <c r="I47" s="17">
        <f t="shared" si="14"/>
        <v>0</v>
      </c>
      <c r="J47" s="17">
        <f t="shared" si="14"/>
        <v>121.2</v>
      </c>
      <c r="K47" s="17">
        <f t="shared" si="14"/>
        <v>0</v>
      </c>
      <c r="L47" s="17">
        <f t="shared" si="14"/>
        <v>0</v>
      </c>
      <c r="M47" s="17">
        <f t="shared" si="14"/>
        <v>0</v>
      </c>
      <c r="N47" s="17">
        <f t="shared" si="14"/>
        <v>0</v>
      </c>
      <c r="O47" s="17">
        <f t="shared" si="14"/>
        <v>0</v>
      </c>
      <c r="P47" s="17">
        <f t="shared" si="14"/>
        <v>0</v>
      </c>
      <c r="Q47" s="17">
        <f t="shared" si="14"/>
        <v>0</v>
      </c>
      <c r="R47" s="17">
        <f t="shared" si="14"/>
        <v>0</v>
      </c>
      <c r="S47" s="17">
        <f t="shared" si="14"/>
        <v>0</v>
      </c>
      <c r="T47" s="17">
        <f t="shared" si="14"/>
        <v>0</v>
      </c>
      <c r="U47" s="17">
        <f t="shared" si="14"/>
        <v>0</v>
      </c>
      <c r="V47" s="17">
        <f t="shared" si="14"/>
        <v>0</v>
      </c>
      <c r="W47" s="17">
        <f t="shared" si="14"/>
        <v>0</v>
      </c>
      <c r="X47" s="17">
        <f t="shared" si="14"/>
        <v>0</v>
      </c>
      <c r="Y47" s="17">
        <f t="shared" si="14"/>
        <v>0</v>
      </c>
      <c r="Z47" s="17">
        <f t="shared" si="14"/>
        <v>0</v>
      </c>
      <c r="AA47" s="17">
        <f t="shared" si="14"/>
        <v>0</v>
      </c>
      <c r="AB47" s="17">
        <f t="shared" si="14"/>
        <v>0</v>
      </c>
      <c r="AC47" s="17">
        <f t="shared" si="14"/>
        <v>0</v>
      </c>
      <c r="AD47" s="16">
        <f>C47-D47</f>
        <v>300</v>
      </c>
    </row>
    <row r="48" spans="1:30" s="33" customFormat="1" x14ac:dyDescent="0.25">
      <c r="A48" s="23"/>
      <c r="B48" s="24" t="s">
        <v>12</v>
      </c>
      <c r="C48" s="20"/>
      <c r="D48" s="20"/>
      <c r="E48" s="20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s="31" customFormat="1" x14ac:dyDescent="0.3">
      <c r="A49" s="23" t="s">
        <v>84</v>
      </c>
      <c r="B49" s="34" t="s">
        <v>85</v>
      </c>
      <c r="C49" s="20">
        <f>F49+H49+J49+L49+N49+P49+R49+T49+V49+X49+Z49+AB49</f>
        <v>0</v>
      </c>
      <c r="D49" s="20">
        <f>G49+I49+K49+M49+O49+Q49+S49+U49+W49+Y49+AA49+AC49</f>
        <v>0</v>
      </c>
      <c r="E49" s="20" t="e">
        <f t="shared" ref="E49:E58" si="15">D49/C49%</f>
        <v>#DIV/0!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1">
        <f t="shared" ref="AD49:AD58" si="16">C49-D49</f>
        <v>0</v>
      </c>
    </row>
    <row r="50" spans="1:30" s="31" customFormat="1" x14ac:dyDescent="0.3">
      <c r="A50" s="23" t="s">
        <v>86</v>
      </c>
      <c r="B50" s="34" t="s">
        <v>87</v>
      </c>
      <c r="C50" s="20">
        <f t="shared" si="1"/>
        <v>300</v>
      </c>
      <c r="D50" s="20">
        <f t="shared" si="1"/>
        <v>0</v>
      </c>
      <c r="E50" s="20">
        <f t="shared" si="15"/>
        <v>0</v>
      </c>
      <c r="F50" s="27">
        <v>140.9</v>
      </c>
      <c r="G50" s="27"/>
      <c r="H50" s="27">
        <v>37.9</v>
      </c>
      <c r="I50" s="27"/>
      <c r="J50" s="27">
        <v>121.2</v>
      </c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1">
        <f t="shared" si="16"/>
        <v>300</v>
      </c>
    </row>
    <row r="51" spans="1:30" s="31" customFormat="1" x14ac:dyDescent="0.3">
      <c r="A51" s="23" t="s">
        <v>88</v>
      </c>
      <c r="B51" s="34" t="s">
        <v>89</v>
      </c>
      <c r="C51" s="20">
        <f t="shared" si="1"/>
        <v>0</v>
      </c>
      <c r="D51" s="20">
        <f t="shared" si="1"/>
        <v>0</v>
      </c>
      <c r="E51" s="20" t="e">
        <f t="shared" si="15"/>
        <v>#DIV/0!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1">
        <f t="shared" si="16"/>
        <v>0</v>
      </c>
    </row>
    <row r="52" spans="1:30" s="31" customFormat="1" ht="19.5" customHeight="1" x14ac:dyDescent="0.3">
      <c r="A52" s="23" t="s">
        <v>90</v>
      </c>
      <c r="B52" s="34" t="s">
        <v>91</v>
      </c>
      <c r="C52" s="20">
        <f t="shared" si="1"/>
        <v>0</v>
      </c>
      <c r="D52" s="20">
        <f t="shared" si="1"/>
        <v>0</v>
      </c>
      <c r="E52" s="20" t="e">
        <f t="shared" si="15"/>
        <v>#DIV/0!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1">
        <f t="shared" si="16"/>
        <v>0</v>
      </c>
    </row>
    <row r="53" spans="1:30" s="31" customFormat="1" x14ac:dyDescent="0.3">
      <c r="A53" s="23" t="s">
        <v>92</v>
      </c>
      <c r="B53" s="34" t="s">
        <v>93</v>
      </c>
      <c r="C53" s="20">
        <f t="shared" si="1"/>
        <v>0</v>
      </c>
      <c r="D53" s="20">
        <f t="shared" si="1"/>
        <v>0</v>
      </c>
      <c r="E53" s="20" t="e">
        <f t="shared" si="15"/>
        <v>#DIV/0!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1">
        <f t="shared" si="16"/>
        <v>0</v>
      </c>
    </row>
    <row r="54" spans="1:30" s="31" customFormat="1" hidden="1" x14ac:dyDescent="0.3">
      <c r="A54" s="23" t="s">
        <v>94</v>
      </c>
      <c r="B54" s="34"/>
      <c r="C54" s="20">
        <f t="shared" si="1"/>
        <v>0</v>
      </c>
      <c r="D54" s="20">
        <f t="shared" si="1"/>
        <v>0</v>
      </c>
      <c r="E54" s="20" t="e">
        <f t="shared" si="15"/>
        <v>#DIV/0!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1">
        <f t="shared" si="16"/>
        <v>0</v>
      </c>
    </row>
    <row r="55" spans="1:30" s="31" customFormat="1" hidden="1" x14ac:dyDescent="0.3">
      <c r="A55" s="23" t="s">
        <v>95</v>
      </c>
      <c r="B55" s="34"/>
      <c r="C55" s="20">
        <f t="shared" si="1"/>
        <v>0</v>
      </c>
      <c r="D55" s="20">
        <f t="shared" si="1"/>
        <v>0</v>
      </c>
      <c r="E55" s="20" t="e">
        <f t="shared" si="15"/>
        <v>#DIV/0!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35"/>
      <c r="X55" s="27"/>
      <c r="Y55" s="27"/>
      <c r="Z55" s="27"/>
      <c r="AA55" s="27"/>
      <c r="AB55" s="27"/>
      <c r="AC55" s="27"/>
      <c r="AD55" s="21">
        <f t="shared" si="16"/>
        <v>0</v>
      </c>
    </row>
    <row r="56" spans="1:30" s="31" customFormat="1" hidden="1" x14ac:dyDescent="0.3">
      <c r="A56" s="23" t="s">
        <v>96</v>
      </c>
      <c r="B56" s="34"/>
      <c r="C56" s="20">
        <f t="shared" ref="C56:D58" si="17">F56+H56+J56+L56+N56+P56+R56+T56+V56+X56+Z56+AB56</f>
        <v>0</v>
      </c>
      <c r="D56" s="20">
        <f t="shared" si="17"/>
        <v>0</v>
      </c>
      <c r="E56" s="20" t="e">
        <f t="shared" si="15"/>
        <v>#DIV/0!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1">
        <f t="shared" si="16"/>
        <v>0</v>
      </c>
    </row>
    <row r="57" spans="1:30" s="31" customFormat="1" hidden="1" x14ac:dyDescent="0.25">
      <c r="A57" s="23" t="s">
        <v>97</v>
      </c>
      <c r="B57" s="24"/>
      <c r="C57" s="20">
        <f t="shared" si="17"/>
        <v>0</v>
      </c>
      <c r="D57" s="20">
        <f t="shared" si="17"/>
        <v>0</v>
      </c>
      <c r="E57" s="20" t="e">
        <f t="shared" si="15"/>
        <v>#DIV/0!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1">
        <f t="shared" si="16"/>
        <v>0</v>
      </c>
    </row>
    <row r="58" spans="1:30" s="33" customFormat="1" hidden="1" x14ac:dyDescent="0.25">
      <c r="A58" s="23" t="s">
        <v>98</v>
      </c>
      <c r="B58" s="24"/>
      <c r="C58" s="20">
        <f t="shared" si="17"/>
        <v>0</v>
      </c>
      <c r="D58" s="20">
        <f t="shared" si="17"/>
        <v>0</v>
      </c>
      <c r="E58" s="20" t="e">
        <f t="shared" si="15"/>
        <v>#DIV/0!</v>
      </c>
      <c r="F58" s="27"/>
      <c r="G58" s="27"/>
      <c r="H58" s="27"/>
      <c r="I58" s="27"/>
      <c r="J58" s="36"/>
      <c r="K58" s="27"/>
      <c r="L58" s="36"/>
      <c r="M58" s="27"/>
      <c r="N58" s="36"/>
      <c r="O58" s="27"/>
      <c r="P58" s="36"/>
      <c r="Q58" s="27"/>
      <c r="R58" s="36"/>
      <c r="S58" s="27"/>
      <c r="T58" s="36"/>
      <c r="U58" s="27"/>
      <c r="V58" s="36"/>
      <c r="W58" s="27"/>
      <c r="X58" s="27"/>
      <c r="Y58" s="27"/>
      <c r="Z58" s="27"/>
      <c r="AA58" s="27"/>
      <c r="AB58" s="27"/>
      <c r="AC58" s="27"/>
      <c r="AD58" s="21">
        <f t="shared" si="16"/>
        <v>0</v>
      </c>
    </row>
    <row r="59" spans="1:30" s="33" customFormat="1" ht="29.25" customHeight="1" x14ac:dyDescent="0.25">
      <c r="A59" s="14"/>
      <c r="B59" s="15" t="s">
        <v>99</v>
      </c>
      <c r="C59" s="16">
        <f>F59+H59+J59+L59+N59+P59+R59+T59+V59+X59+Z59+AB59</f>
        <v>13268.899999999998</v>
      </c>
      <c r="D59" s="16">
        <f>G59+I59+K59+M59+O59+Q59+S59+U59+W59+Y59+AA59+AC59</f>
        <v>9850.5</v>
      </c>
      <c r="E59" s="16">
        <f>D59/C59%</f>
        <v>74.237502731952176</v>
      </c>
      <c r="F59" s="16">
        <f t="shared" ref="F59:AC59" si="18">F47+F7</f>
        <v>4121.7999999999993</v>
      </c>
      <c r="G59" s="16">
        <f t="shared" si="18"/>
        <v>2422</v>
      </c>
      <c r="H59" s="16">
        <f t="shared" si="18"/>
        <v>4107.8</v>
      </c>
      <c r="I59" s="16">
        <f t="shared" si="18"/>
        <v>3670.2999999999993</v>
      </c>
      <c r="J59" s="16">
        <f t="shared" si="18"/>
        <v>5039.3</v>
      </c>
      <c r="K59" s="16">
        <f t="shared" si="18"/>
        <v>3758.2000000000003</v>
      </c>
      <c r="L59" s="16">
        <f t="shared" si="18"/>
        <v>0</v>
      </c>
      <c r="M59" s="16">
        <f t="shared" si="18"/>
        <v>0</v>
      </c>
      <c r="N59" s="16">
        <f t="shared" si="18"/>
        <v>0</v>
      </c>
      <c r="O59" s="16">
        <f t="shared" si="18"/>
        <v>0</v>
      </c>
      <c r="P59" s="16">
        <f t="shared" si="18"/>
        <v>0</v>
      </c>
      <c r="Q59" s="16">
        <f t="shared" si="18"/>
        <v>0</v>
      </c>
      <c r="R59" s="16">
        <f t="shared" si="18"/>
        <v>0</v>
      </c>
      <c r="S59" s="16">
        <f t="shared" si="18"/>
        <v>0</v>
      </c>
      <c r="T59" s="16">
        <f t="shared" si="18"/>
        <v>0</v>
      </c>
      <c r="U59" s="16">
        <f t="shared" si="18"/>
        <v>0</v>
      </c>
      <c r="V59" s="16">
        <f t="shared" si="18"/>
        <v>0</v>
      </c>
      <c r="W59" s="16">
        <f t="shared" si="18"/>
        <v>0</v>
      </c>
      <c r="X59" s="16">
        <f t="shared" si="18"/>
        <v>0</v>
      </c>
      <c r="Y59" s="16">
        <f t="shared" si="18"/>
        <v>0</v>
      </c>
      <c r="Z59" s="16">
        <f t="shared" si="18"/>
        <v>0</v>
      </c>
      <c r="AA59" s="16">
        <f t="shared" si="18"/>
        <v>0</v>
      </c>
      <c r="AB59" s="16">
        <f t="shared" si="18"/>
        <v>0</v>
      </c>
      <c r="AC59" s="16">
        <f t="shared" si="18"/>
        <v>0</v>
      </c>
      <c r="AD59" s="16">
        <f>AD47+AD7</f>
        <v>3418.3999999999996</v>
      </c>
    </row>
    <row r="60" spans="1:30" x14ac:dyDescent="0.3">
      <c r="A60" s="37" t="s">
        <v>100</v>
      </c>
      <c r="B60" s="38"/>
      <c r="C60" s="38"/>
      <c r="D60" s="38"/>
      <c r="E60" s="39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40" t="s">
        <v>101</v>
      </c>
    </row>
    <row r="61" spans="1:30" x14ac:dyDescent="0.3">
      <c r="A61" s="37" t="s">
        <v>102</v>
      </c>
      <c r="B61" s="41"/>
      <c r="C61" s="41"/>
      <c r="D61" s="41"/>
      <c r="E61" s="41"/>
      <c r="F61" s="41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40" t="s">
        <v>103</v>
      </c>
    </row>
    <row r="62" spans="1:30" ht="12.75" x14ac:dyDescent="0.2">
      <c r="A62" s="3"/>
      <c r="AD62" s="3"/>
    </row>
    <row r="64" spans="1:30" x14ac:dyDescent="0.3">
      <c r="D64" s="43"/>
    </row>
    <row r="66" spans="6:11" x14ac:dyDescent="0.3">
      <c r="F66" s="6"/>
      <c r="G66" s="6"/>
      <c r="H66" s="6"/>
      <c r="I66" s="6"/>
      <c r="J66" s="6"/>
      <c r="K66" s="6"/>
    </row>
  </sheetData>
  <mergeCells count="21">
    <mergeCell ref="T5:U5"/>
    <mergeCell ref="V5:W5"/>
    <mergeCell ref="X5:Y5"/>
    <mergeCell ref="Z5:AA5"/>
    <mergeCell ref="AB5:AC5"/>
    <mergeCell ref="H5:I5"/>
    <mergeCell ref="J5:K5"/>
    <mergeCell ref="L5:M5"/>
    <mergeCell ref="N5:O5"/>
    <mergeCell ref="P5:Q5"/>
    <mergeCell ref="R5:S5"/>
    <mergeCell ref="A1:AD1"/>
    <mergeCell ref="AE1:AP1"/>
    <mergeCell ref="A2:AD2"/>
    <mergeCell ref="A3:AD3"/>
    <mergeCell ref="A4:A6"/>
    <mergeCell ref="B4:B6"/>
    <mergeCell ref="C4:E5"/>
    <mergeCell ref="F4:AC4"/>
    <mergeCell ref="AD4:AD6"/>
    <mergeCell ref="F5:G5"/>
  </mergeCells>
  <pageMargins left="0.86" right="0.16" top="0.24" bottom="0.17812500000000001" header="0.16" footer="0.16"/>
  <pageSetup paperSize="9" scale="3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Ікв 21</vt:lpstr>
      <vt:lpstr>'Ікв 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2021-04-06T12:25:30Z</dcterms:created>
  <dcterms:modified xsi:type="dcterms:W3CDTF">2021-04-06T12:27:28Z</dcterms:modified>
</cp:coreProperties>
</file>