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C690E30-3D45-4652-A136-66530E46F3A9}" xr6:coauthVersionLast="47" xr6:coauthVersionMax="47" xr10:uidLastSave="{00000000-0000-0000-0000-000000000000}"/>
  <bookViews>
    <workbookView xWindow="2085" yWindow="-120" windowWidth="26835" windowHeight="16440" xr2:uid="{76B10B59-EE70-4C61-97E8-3958BAE2E393}"/>
  </bookViews>
  <sheets>
    <sheet name="12 міс 21" sheetId="1" r:id="rId1"/>
  </sheets>
  <externalReferences>
    <externalReference r:id="rId2"/>
  </externalReferences>
  <definedNames>
    <definedName name="_xlnm.Print_Area" localSheetId="0">'12 міс 21'!$A$1:$AP$62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0" i="1" l="1"/>
  <c r="R60" i="1"/>
  <c r="D59" i="1"/>
  <c r="E59" i="1" s="1"/>
  <c r="C59" i="1"/>
  <c r="AD59" i="1" s="1"/>
  <c r="D58" i="1"/>
  <c r="C58" i="1"/>
  <c r="AD58" i="1" s="1"/>
  <c r="AD57" i="1"/>
  <c r="D57" i="1"/>
  <c r="E57" i="1" s="1"/>
  <c r="C57" i="1"/>
  <c r="D56" i="1"/>
  <c r="E56" i="1" s="1"/>
  <c r="C56" i="1"/>
  <c r="AD56" i="1" s="1"/>
  <c r="D55" i="1"/>
  <c r="C55" i="1"/>
  <c r="AD55" i="1" s="1"/>
  <c r="AD54" i="1"/>
  <c r="D54" i="1"/>
  <c r="C54" i="1"/>
  <c r="D53" i="1"/>
  <c r="E53" i="1" s="1"/>
  <c r="C53" i="1"/>
  <c r="AD53" i="1" s="1"/>
  <c r="D52" i="1"/>
  <c r="AD52" i="1" s="1"/>
  <c r="C52" i="1"/>
  <c r="AD51" i="1"/>
  <c r="E51" i="1"/>
  <c r="D51" i="1"/>
  <c r="C51" i="1"/>
  <c r="D50" i="1"/>
  <c r="E50" i="1" s="1"/>
  <c r="C50" i="1"/>
  <c r="AD50" i="1" s="1"/>
  <c r="AC48" i="1"/>
  <c r="AB48" i="1"/>
  <c r="AB60" i="1" s="1"/>
  <c r="AA48" i="1"/>
  <c r="Z48" i="1"/>
  <c r="Y48" i="1"/>
  <c r="X48" i="1"/>
  <c r="W48" i="1"/>
  <c r="W60" i="1" s="1"/>
  <c r="V48" i="1"/>
  <c r="V60" i="1" s="1"/>
  <c r="U48" i="1"/>
  <c r="T48" i="1"/>
  <c r="S48" i="1"/>
  <c r="S60" i="1" s="1"/>
  <c r="R48" i="1"/>
  <c r="Q48" i="1"/>
  <c r="Q60" i="1" s="1"/>
  <c r="P48" i="1"/>
  <c r="P60" i="1" s="1"/>
  <c r="O48" i="1"/>
  <c r="N48" i="1"/>
  <c r="M48" i="1"/>
  <c r="M60" i="1" s="1"/>
  <c r="L48" i="1"/>
  <c r="K48" i="1"/>
  <c r="J48" i="1"/>
  <c r="I48" i="1"/>
  <c r="H48" i="1"/>
  <c r="G48" i="1"/>
  <c r="D48" i="1" s="1"/>
  <c r="E48" i="1" s="1"/>
  <c r="F48" i="1"/>
  <c r="C48" i="1" s="1"/>
  <c r="D47" i="1"/>
  <c r="AD47" i="1" s="1"/>
  <c r="C47" i="1"/>
  <c r="AC46" i="1"/>
  <c r="AA46" i="1"/>
  <c r="Y46" i="1"/>
  <c r="Y44" i="1" s="1"/>
  <c r="W46" i="1"/>
  <c r="W44" i="1" s="1"/>
  <c r="T46" i="1"/>
  <c r="S46" i="1"/>
  <c r="Q46" i="1"/>
  <c r="O46" i="1"/>
  <c r="N46" i="1"/>
  <c r="N44" i="1" s="1"/>
  <c r="M46" i="1"/>
  <c r="M44" i="1" s="1"/>
  <c r="L46" i="1"/>
  <c r="L44" i="1" s="1"/>
  <c r="K46" i="1"/>
  <c r="I46" i="1"/>
  <c r="I44" i="1" s="1"/>
  <c r="H46" i="1"/>
  <c r="G46" i="1"/>
  <c r="D46" i="1" s="1"/>
  <c r="F46" i="1"/>
  <c r="C46" i="1" s="1"/>
  <c r="AC44" i="1"/>
  <c r="AB44" i="1"/>
  <c r="AA44" i="1"/>
  <c r="Z44" i="1"/>
  <c r="X44" i="1"/>
  <c r="V44" i="1"/>
  <c r="U44" i="1"/>
  <c r="T44" i="1"/>
  <c r="S44" i="1"/>
  <c r="R44" i="1"/>
  <c r="Q44" i="1"/>
  <c r="P44" i="1"/>
  <c r="O44" i="1"/>
  <c r="K44" i="1"/>
  <c r="J44" i="1"/>
  <c r="H44" i="1"/>
  <c r="D43" i="1"/>
  <c r="C43" i="1"/>
  <c r="AD43" i="1" s="1"/>
  <c r="AC42" i="1"/>
  <c r="W42" i="1"/>
  <c r="S42" i="1"/>
  <c r="R42" i="1"/>
  <c r="D42" i="1"/>
  <c r="E42" i="1" s="1"/>
  <c r="C42" i="1"/>
  <c r="D41" i="1"/>
  <c r="C41" i="1"/>
  <c r="AD41" i="1" s="1"/>
  <c r="D40" i="1"/>
  <c r="AD40" i="1" s="1"/>
  <c r="C40" i="1"/>
  <c r="D39" i="1"/>
  <c r="C39" i="1"/>
  <c r="AD39" i="1" s="1"/>
  <c r="AD38" i="1"/>
  <c r="E38" i="1"/>
  <c r="D38" i="1"/>
  <c r="C38" i="1"/>
  <c r="D37" i="1"/>
  <c r="C37" i="1"/>
  <c r="AD37" i="1" s="1"/>
  <c r="AD36" i="1"/>
  <c r="D36" i="1"/>
  <c r="E36" i="1" s="1"/>
  <c r="C36" i="1"/>
  <c r="D35" i="1"/>
  <c r="E35" i="1" s="1"/>
  <c r="C35" i="1"/>
  <c r="AD35" i="1" s="1"/>
  <c r="D34" i="1"/>
  <c r="C34" i="1"/>
  <c r="AD34" i="1" s="1"/>
  <c r="AD33" i="1"/>
  <c r="E33" i="1"/>
  <c r="D33" i="1"/>
  <c r="C33" i="1"/>
  <c r="D32" i="1"/>
  <c r="E32" i="1" s="1"/>
  <c r="C32" i="1"/>
  <c r="AD32" i="1" s="1"/>
  <c r="W31" i="1"/>
  <c r="D31" i="1"/>
  <c r="C31" i="1"/>
  <c r="AD31" i="1" s="1"/>
  <c r="AD30" i="1"/>
  <c r="D30" i="1"/>
  <c r="C30" i="1"/>
  <c r="D29" i="1"/>
  <c r="E29" i="1" s="1"/>
  <c r="C29" i="1"/>
  <c r="AD29" i="1" s="1"/>
  <c r="D28" i="1"/>
  <c r="C28" i="1"/>
  <c r="AD28" i="1" s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C26" i="1" s="1"/>
  <c r="AD26" i="1" s="1"/>
  <c r="D26" i="1"/>
  <c r="AF8" i="1" s="1"/>
  <c r="AC25" i="1"/>
  <c r="AC21" i="1" s="1"/>
  <c r="AA25" i="1"/>
  <c r="W25" i="1"/>
  <c r="S25" i="1"/>
  <c r="Q25" i="1"/>
  <c r="N25" i="1"/>
  <c r="L25" i="1"/>
  <c r="L21" i="1" s="1"/>
  <c r="L7" i="1" s="1"/>
  <c r="L60" i="1" s="1"/>
  <c r="K25" i="1"/>
  <c r="J25" i="1"/>
  <c r="J21" i="1" s="1"/>
  <c r="J7" i="1" s="1"/>
  <c r="I25" i="1"/>
  <c r="D25" i="1" s="1"/>
  <c r="E25" i="1" s="1"/>
  <c r="H25" i="1"/>
  <c r="F25" i="1"/>
  <c r="C25" i="1"/>
  <c r="AD25" i="1" s="1"/>
  <c r="AC24" i="1"/>
  <c r="Y24" i="1"/>
  <c r="W24" i="1"/>
  <c r="W21" i="1" s="1"/>
  <c r="W7" i="1" s="1"/>
  <c r="U24" i="1"/>
  <c r="S24" i="1"/>
  <c r="O24" i="1"/>
  <c r="O21" i="1" s="1"/>
  <c r="N24" i="1"/>
  <c r="M24" i="1"/>
  <c r="K24" i="1"/>
  <c r="K21" i="1" s="1"/>
  <c r="J24" i="1"/>
  <c r="I24" i="1"/>
  <c r="D24" i="1" s="1"/>
  <c r="C24" i="1"/>
  <c r="D23" i="1"/>
  <c r="E23" i="1" s="1"/>
  <c r="C23" i="1"/>
  <c r="AD23" i="1" s="1"/>
  <c r="AB21" i="1"/>
  <c r="AA21" i="1"/>
  <c r="Z21" i="1"/>
  <c r="Y21" i="1"/>
  <c r="X21" i="1"/>
  <c r="V21" i="1"/>
  <c r="U21" i="1"/>
  <c r="T21" i="1"/>
  <c r="S21" i="1"/>
  <c r="R21" i="1"/>
  <c r="Q21" i="1"/>
  <c r="P21" i="1"/>
  <c r="N21" i="1"/>
  <c r="M21" i="1"/>
  <c r="H21" i="1"/>
  <c r="G21" i="1"/>
  <c r="F21" i="1"/>
  <c r="D20" i="1"/>
  <c r="AD20" i="1" s="1"/>
  <c r="C20" i="1"/>
  <c r="D18" i="1"/>
  <c r="C18" i="1"/>
  <c r="AD18" i="1" s="1"/>
  <c r="AD17" i="1"/>
  <c r="E17" i="1"/>
  <c r="D17" i="1"/>
  <c r="C17" i="1"/>
  <c r="S16" i="1"/>
  <c r="N16" i="1"/>
  <c r="C16" i="1" s="1"/>
  <c r="D16" i="1"/>
  <c r="D15" i="1"/>
  <c r="C15" i="1"/>
  <c r="AD15" i="1" s="1"/>
  <c r="AC14" i="1"/>
  <c r="AA14" i="1"/>
  <c r="Y14" i="1"/>
  <c r="W14" i="1"/>
  <c r="U14" i="1"/>
  <c r="U11" i="1" s="1"/>
  <c r="S14" i="1"/>
  <c r="O14" i="1"/>
  <c r="N14" i="1"/>
  <c r="M14" i="1"/>
  <c r="L14" i="1"/>
  <c r="K14" i="1"/>
  <c r="K11" i="1" s="1"/>
  <c r="I14" i="1"/>
  <c r="D14" i="1" s="1"/>
  <c r="E14" i="1" s="1"/>
  <c r="F14" i="1"/>
  <c r="C14" i="1" s="1"/>
  <c r="AA13" i="1"/>
  <c r="AA11" i="1" s="1"/>
  <c r="Y13" i="1"/>
  <c r="U13" i="1"/>
  <c r="S13" i="1"/>
  <c r="C13" i="1"/>
  <c r="AC11" i="1"/>
  <c r="AB11" i="1"/>
  <c r="Z11" i="1"/>
  <c r="Z7" i="1" s="1"/>
  <c r="Y11" i="1"/>
  <c r="Y7" i="1" s="1"/>
  <c r="Y60" i="1" s="1"/>
  <c r="X11" i="1"/>
  <c r="W11" i="1"/>
  <c r="V11" i="1"/>
  <c r="T11" i="1"/>
  <c r="S11" i="1"/>
  <c r="S7" i="1" s="1"/>
  <c r="R11" i="1"/>
  <c r="Q11" i="1"/>
  <c r="P11" i="1"/>
  <c r="O11" i="1"/>
  <c r="N11" i="1"/>
  <c r="M11" i="1"/>
  <c r="M7" i="1" s="1"/>
  <c r="L11" i="1"/>
  <c r="J11" i="1"/>
  <c r="H11" i="1"/>
  <c r="G11" i="1"/>
  <c r="F11" i="1"/>
  <c r="C11" i="1" s="1"/>
  <c r="AC10" i="1"/>
  <c r="AA10" i="1"/>
  <c r="Y10" i="1"/>
  <c r="W10" i="1"/>
  <c r="V10" i="1"/>
  <c r="U10" i="1"/>
  <c r="T10" i="1"/>
  <c r="T7" i="1" s="1"/>
  <c r="S10" i="1"/>
  <c r="R10" i="1"/>
  <c r="Q10" i="1"/>
  <c r="P10" i="1"/>
  <c r="O10" i="1"/>
  <c r="O7" i="1" s="1"/>
  <c r="O60" i="1" s="1"/>
  <c r="N10" i="1"/>
  <c r="M10" i="1"/>
  <c r="L10" i="1"/>
  <c r="K10" i="1"/>
  <c r="J10" i="1"/>
  <c r="I10" i="1"/>
  <c r="H10" i="1"/>
  <c r="H7" i="1" s="1"/>
  <c r="G10" i="1"/>
  <c r="D10" i="1" s="1"/>
  <c r="F10" i="1"/>
  <c r="AC9" i="1"/>
  <c r="AA9" i="1"/>
  <c r="Y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C9" i="1" s="1"/>
  <c r="AD9" i="1" s="1"/>
  <c r="G9" i="1"/>
  <c r="F9" i="1"/>
  <c r="D9" i="1"/>
  <c r="AB7" i="1"/>
  <c r="X7" i="1"/>
  <c r="V7" i="1"/>
  <c r="R7" i="1"/>
  <c r="Q7" i="1"/>
  <c r="P7" i="1"/>
  <c r="AF5" i="1"/>
  <c r="U7" i="1" l="1"/>
  <c r="U60" i="1" s="1"/>
  <c r="E46" i="1"/>
  <c r="AF9" i="1"/>
  <c r="AA7" i="1"/>
  <c r="AA60" i="1" s="1"/>
  <c r="AD14" i="1"/>
  <c r="H60" i="1"/>
  <c r="N60" i="1"/>
  <c r="T60" i="1"/>
  <c r="Z60" i="1"/>
  <c r="C21" i="1"/>
  <c r="J60" i="1"/>
  <c r="E10" i="1"/>
  <c r="E9" i="1"/>
  <c r="K7" i="1"/>
  <c r="K60" i="1" s="1"/>
  <c r="N7" i="1"/>
  <c r="AC7" i="1"/>
  <c r="AC60" i="1" s="1"/>
  <c r="AD16" i="1"/>
  <c r="E16" i="1"/>
  <c r="E24" i="1"/>
  <c r="AD24" i="1"/>
  <c r="AD46" i="1"/>
  <c r="AD48" i="1"/>
  <c r="AF3" i="1"/>
  <c r="D13" i="1"/>
  <c r="E26" i="1"/>
  <c r="I11" i="1"/>
  <c r="I7" i="1" s="1"/>
  <c r="I60" i="1" s="1"/>
  <c r="I21" i="1"/>
  <c r="D21" i="1" s="1"/>
  <c r="F44" i="1"/>
  <c r="E31" i="1"/>
  <c r="E43" i="1"/>
  <c r="G44" i="1"/>
  <c r="D44" i="1" s="1"/>
  <c r="E55" i="1"/>
  <c r="E58" i="1"/>
  <c r="AD42" i="1"/>
  <c r="C10" i="1"/>
  <c r="AD10" i="1" s="1"/>
  <c r="E52" i="1"/>
  <c r="AF7" i="1" l="1"/>
  <c r="E21" i="1"/>
  <c r="G7" i="1"/>
  <c r="AD21" i="1"/>
  <c r="D11" i="1"/>
  <c r="E13" i="1"/>
  <c r="AF4" i="1"/>
  <c r="AD13" i="1"/>
  <c r="C44" i="1"/>
  <c r="AD44" i="1" s="1"/>
  <c r="F7" i="1"/>
  <c r="D7" i="1" l="1"/>
  <c r="G60" i="1"/>
  <c r="D60" i="1" s="1"/>
  <c r="E44" i="1"/>
  <c r="E11" i="1"/>
  <c r="AF6" i="1"/>
  <c r="AD11" i="1"/>
  <c r="C7" i="1"/>
  <c r="AD7" i="1" s="1"/>
  <c r="AD60" i="1" s="1"/>
  <c r="F60" i="1"/>
  <c r="C60" i="1" s="1"/>
  <c r="E60" i="1" l="1"/>
  <c r="E7" i="1"/>
</calcChain>
</file>

<file path=xl/sharedStrings.xml><?xml version="1.0" encoding="utf-8"?>
<sst xmlns="http://schemas.openxmlformats.org/spreadsheetml/2006/main" count="142" uniqueCount="114">
  <si>
    <t>Звіт про використання бюджетних коштів за 12 місяців 2021 року</t>
  </si>
  <si>
    <r>
      <t xml:space="preserve">Структура використання бюджетних коштів за </t>
    </r>
    <r>
      <rPr>
        <b/>
        <sz val="16"/>
        <color rgb="FFFF0000"/>
        <rFont val="Times New Roman"/>
        <family val="1"/>
        <charset val="204"/>
      </rPr>
      <t xml:space="preserve"> І півріччя 2021 рік</t>
    </r>
  </si>
  <si>
    <t>КП "Затишне місто"</t>
  </si>
  <si>
    <t>БЮДЖЕТ ЗА 12 місяців 2021 рік</t>
  </si>
  <si>
    <t>Оплата праці</t>
  </si>
  <si>
    <t>№ з/п</t>
  </si>
  <si>
    <t>Назва видатків, об'єктів</t>
  </si>
  <si>
    <t xml:space="preserve">Разом </t>
  </si>
  <si>
    <t>січень-грудень 2021 року</t>
  </si>
  <si>
    <t>залишок (тис.грн.)</t>
  </si>
  <si>
    <t>ПММ</t>
  </si>
  <si>
    <t>Матеріали та запчастини АТД</t>
  </si>
  <si>
    <t>план</t>
  </si>
  <si>
    <t>виконано</t>
  </si>
  <si>
    <t>% виконання</t>
  </si>
  <si>
    <t>Матеріали ЦБ</t>
  </si>
  <si>
    <t>Видатки (благоустрій)-всього (тис.грн.):</t>
  </si>
  <si>
    <t>Комунальні послуги</t>
  </si>
  <si>
    <t>в тому числі</t>
  </si>
  <si>
    <t>Інші послуги</t>
  </si>
  <si>
    <t>1.1</t>
  </si>
  <si>
    <t>Заробітна плата</t>
  </si>
  <si>
    <t>Податки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</si>
  <si>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</si>
  <si>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</si>
  <si>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</si>
  <si>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</si>
  <si>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</si>
  <si>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</si>
  <si>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</si>
  <si>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</si>
  <si>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</si>
  <si>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</si>
  <si>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</si>
  <si>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</si>
  <si>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 та матеріали</t>
  </si>
  <si>
    <t>1.3.5</t>
  </si>
  <si>
    <t>посипочний матеріал (шлак доменний)</t>
  </si>
  <si>
    <t>1.3.6</t>
  </si>
  <si>
    <t>саджанці</t>
  </si>
  <si>
    <t>1.3.7</t>
  </si>
  <si>
    <t>Сипучі матеріали</t>
  </si>
  <si>
    <t>1.3.8</t>
  </si>
  <si>
    <t>сипучі матеріали для утримання доріг в осінньо-зимовий період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</si>
  <si>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</si>
  <si>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</si>
  <si>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</si>
  <si>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</si>
  <si>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</si>
  <si>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</si>
  <si>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</si>
  <si>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</si>
  <si>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</si>
  <si>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</si>
  <si>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</si>
  <si>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</si>
  <si>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</si>
  <si>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</si>
  <si>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</si>
  <si>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транспорту</t>
  </si>
  <si>
    <t>1.5.4</t>
  </si>
  <si>
    <t>обслуговування комп'ютерної техніки</t>
  </si>
  <si>
    <t>1.5.5</t>
  </si>
  <si>
    <t>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</si>
  <si>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</si>
  <si>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</si>
  <si>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</si>
  <si>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</si>
  <si>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</si>
  <si>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</si>
  <si>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</si>
  <si>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</si>
  <si>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</si>
  <si>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</si>
  <si>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</si>
  <si>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послуги з утримання газонів</t>
  </si>
  <si>
    <t>1.5.12</t>
  </si>
  <si>
    <t>послуги з ремонту та тех обсл електроуста-ня</t>
  </si>
  <si>
    <t>1.5.13</t>
  </si>
  <si>
    <t>обов'язковий технічний контроль ТЗ</t>
  </si>
  <si>
    <t>1.5.14</t>
  </si>
  <si>
    <t>страхування транспорту</t>
  </si>
  <si>
    <t>1.5.15</t>
  </si>
  <si>
    <t>інші послуги</t>
  </si>
  <si>
    <t>1.5.16</t>
  </si>
  <si>
    <t>послуги з обслуговування мереж зов освітлення дитячого парку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</si>
  <si>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</si>
  <si>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</si>
  <si>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</si>
  <si>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</si>
  <si>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</si>
  <si>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</si>
  <si>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</si>
  <si>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</si>
  <si>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</si>
  <si>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саджанців дерев та кущів</t>
  </si>
  <si>
    <t>2.2</t>
  </si>
  <si>
    <t>Придбання саджанців</t>
  </si>
  <si>
    <t>2.3</t>
  </si>
  <si>
    <t>Придбання саджанців газонної трави</t>
  </si>
  <si>
    <t>2.4</t>
  </si>
  <si>
    <t>Придбання опалювального котла</t>
  </si>
  <si>
    <t>2.5</t>
  </si>
  <si>
    <t>Придбання тримерів</t>
  </si>
  <si>
    <t>2.6</t>
  </si>
  <si>
    <t>2.7</t>
  </si>
  <si>
    <t>2.8</t>
  </si>
  <si>
    <t>2.9</t>
  </si>
  <si>
    <t>2.10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</si>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</sst>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5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4"/>
      <color rgb="FFC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10" fillId="0" borderId="2" xfId="0" applyFont="1" applyBorder="1" applyAlignment="1">
      <alignment vertical="center"/>
    </xf>
    <xf numFmtId="0" fontId="4" fillId="0" borderId="2" xfId="0" applyFont="1" applyBorder="1"/>
    <xf numFmtId="0" fontId="11" fillId="0" borderId="0" xfId="0" applyFont="1"/>
    <xf numFmtId="0" fontId="12" fillId="0" borderId="2" xfId="0" applyFont="1" applyBorder="1" applyAlignment="1">
      <alignment vertical="center"/>
    </xf>
    <xf numFmtId="0" fontId="11" fillId="3" borderId="0" xfId="0" applyFont="1" applyFill="1"/>
    <xf numFmtId="0" fontId="13" fillId="0" borderId="2" xfId="0" applyFont="1" applyBorder="1" applyAlignment="1">
      <alignment vertical="center"/>
    </xf>
    <xf numFmtId="0" fontId="4" fillId="0" borderId="2" xfId="0" applyFont="1" applyBorder="1" applyAlignment="1">
      <alignment wrapText="1" shrinkToFit="1"/>
    </xf>
    <xf numFmtId="0" fontId="7" fillId="4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49" fontId="4" fillId="0" borderId="0" xfId="0" applyNumberFormat="1" applyFont="1"/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9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083825558919227E-3"/>
          <c:y val="0.10112829275346287"/>
          <c:w val="0.9738808071261118"/>
          <c:h val="0.78851775355582343"/>
        </c:manualLayout>
      </c:layout>
      <c:pieChart>
        <c:varyColors val="1"/>
        <c:ser>
          <c:idx val="0"/>
          <c:order val="0"/>
          <c:explosion val="23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38-4891-8E24-623DB2177FF9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38-4891-8E24-623DB2177FF9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38-4891-8E24-623DB2177FF9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38-4891-8E24-623DB2177FF9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38-4891-8E24-623DB2177FF9}"/>
              </c:ext>
            </c:extLst>
          </c:dPt>
          <c:dPt>
            <c:idx val="5"/>
            <c:bubble3D val="0"/>
            <c:explosion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38-4891-8E24-623DB2177FF9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38-4891-8E24-623DB2177FF9}"/>
              </c:ext>
            </c:extLst>
          </c:dPt>
          <c:dLbls>
            <c:dLbl>
              <c:idx val="0"/>
              <c:layout>
                <c:manualLayout>
                  <c:x val="-0.19297320864931333"/>
                  <c:y val="5.4372907752055413E-3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8-4891-8E24-623DB2177FF9}"/>
                </c:ext>
              </c:extLst>
            </c:dLbl>
            <c:dLbl>
              <c:idx val="1"/>
              <c:layout>
                <c:manualLayout>
                  <c:x val="0.1549960452464671"/>
                  <c:y val="-7.3387332083383425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8-4891-8E24-623DB2177FF9}"/>
                </c:ext>
              </c:extLst>
            </c:dLbl>
            <c:dLbl>
              <c:idx val="2"/>
              <c:layout>
                <c:manualLayout>
                  <c:x val="3.1383086083058842E-2"/>
                  <c:y val="0.1554017315565247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38-4891-8E24-623DB2177FF9}"/>
                </c:ext>
              </c:extLst>
            </c:dLbl>
            <c:dLbl>
              <c:idx val="3"/>
              <c:layout>
                <c:manualLayout>
                  <c:x val="0.16390098543071338"/>
                  <c:y val="1.5373527410869964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38-4891-8E24-623DB2177FF9}"/>
                </c:ext>
              </c:extLst>
            </c:dLbl>
            <c:dLbl>
              <c:idx val="4"/>
              <c:layout>
                <c:manualLayout>
                  <c:x val="1.865321325852233E-2"/>
                  <c:y val="-8.5486260325243771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38-4891-8E24-623DB2177FF9}"/>
                </c:ext>
              </c:extLst>
            </c:dLbl>
            <c:dLbl>
              <c:idx val="5"/>
              <c:layout>
                <c:manualLayout>
                  <c:x val="0.10747286529303597"/>
                  <c:y val="-8.5209019531241229E-2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38-4891-8E24-623DB2177FF9}"/>
                </c:ext>
              </c:extLst>
            </c:dLbl>
            <c:dLbl>
              <c:idx val="6"/>
              <c:layout>
                <c:manualLayout>
                  <c:x val="5.8246729332945495E-2"/>
                  <c:y val="0.11169441644625991"/>
                </c:manualLayout>
              </c:layout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38-4891-8E24-623DB2177FF9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'[1]9 міс 21'!$AF$3:$AF$9</c:f>
              <c:numCache>
                <c:formatCode>General</c:formatCode>
                <c:ptCount val="7"/>
                <c:pt idx="0">
                  <c:v>20967.900000000001</c:v>
                </c:pt>
                <c:pt idx="1">
                  <c:v>5067.1999999999989</c:v>
                </c:pt>
                <c:pt idx="2">
                  <c:v>1135.8</c:v>
                </c:pt>
                <c:pt idx="3">
                  <c:v>4272.8</c:v>
                </c:pt>
                <c:pt idx="4">
                  <c:v>619.29999999999995</c:v>
                </c:pt>
                <c:pt idx="5">
                  <c:v>623.30000000000007</c:v>
                </c:pt>
                <c:pt idx="6">
                  <c:v>3637.5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'[1]9 міс 21'!$AE$3:$AE$9</c15:sqref>
                        </c15:formulaRef>
                      </c:ext>
                    </c:extLst>
                    <c:strCache>
                      <c:ptCount val="7"/>
                      <c:pt idx="0">
                        <c:v>Оплата праці</c:v>
                      </c:pt>
                      <c:pt idx="1">
                        <c:v>ПММ</c:v>
                      </c:pt>
                      <c:pt idx="2">
                        <c:v>Матеріали та запчастини АТД</c:v>
                      </c:pt>
                      <c:pt idx="3">
                        <c:v>Матеріали ЦБ</c:v>
                      </c:pt>
                      <c:pt idx="4">
                        <c:v>Комунальні послуги</c:v>
                      </c:pt>
                      <c:pt idx="5">
                        <c:v>Інші послуги</c:v>
                      </c:pt>
                      <c:pt idx="6">
                        <c:v>Податки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D838-4891-8E24-623DB2177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38098</xdr:colOff>
      <xdr:row>1</xdr:row>
      <xdr:rowOff>30955</xdr:rowOff>
    </xdr:from>
    <xdr:to>
      <xdr:col>42</xdr:col>
      <xdr:colOff>38098</xdr:colOff>
      <xdr:row>48</xdr:row>
      <xdr:rowOff>190500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DAD8779D-B5D8-4EF9-B05F-7F559199C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21\&#1047;&#1042;&#1030;&#1058;%20&#1073;&#1102;&#1076;&#1078;&#1077;&#1090;%20&#1079;&#1072;%202021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І кв 2019"/>
      <sheetName val="6 міс 2019"/>
      <sheetName val="9 міс 2019"/>
      <sheetName val="за рік 2019"/>
      <sheetName val="1кв 2020"/>
      <sheetName val="6міс 2020"/>
      <sheetName val="8міс 2020"/>
      <sheetName val="9міс 2020"/>
      <sheetName val="12міс 2020"/>
      <sheetName val="Ікв 21"/>
      <sheetName val="І пів 21"/>
      <sheetName val="9 міс 21"/>
      <sheetName val="12 міс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AE3" t="str">
            <v>Оплата праці</v>
          </cell>
          <cell r="AF3">
            <v>20967.900000000001</v>
          </cell>
        </row>
        <row r="4">
          <cell r="AE4" t="str">
            <v>ПММ</v>
          </cell>
          <cell r="AF4">
            <v>5067.1999999999989</v>
          </cell>
        </row>
        <row r="5">
          <cell r="AE5" t="str">
            <v>Матеріали та запчастини АТД</v>
          </cell>
          <cell r="AF5">
            <v>1135.8</v>
          </cell>
        </row>
        <row r="6">
          <cell r="AE6" t="str">
            <v>Матеріали ЦБ</v>
          </cell>
          <cell r="AF6">
            <v>4272.8</v>
          </cell>
        </row>
        <row r="7">
          <cell r="AE7" t="str">
            <v>Комунальні послуги</v>
          </cell>
          <cell r="AF7">
            <v>619.29999999999995</v>
          </cell>
        </row>
        <row r="8">
          <cell r="AE8" t="str">
            <v>Інші послуги</v>
          </cell>
          <cell r="AF8">
            <v>623.30000000000007</v>
          </cell>
        </row>
        <row r="9">
          <cell r="AE9" t="str">
            <v>Податки</v>
          </cell>
          <cell r="AF9">
            <v>3637.5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28CD0-0EA9-42E5-BB46-A988FFC26837}">
  <sheetPr>
    <pageSetUpPr fitToPage="1"/>
  </sheetPr>
  <dimension ref="A1:BH67"/>
  <sheetViews>
    <sheetView tabSelected="1" showWhiteSpace="0" view="pageLayout" topLeftCell="B1" zoomScale="80" zoomScaleNormal="76" zoomScaleSheetLayoutView="80" zoomScalePageLayoutView="80" workbookViewId="0">
      <selection activeCell="F39" sqref="F39"/>
    </sheetView>
  </sheetViews>
  <sheetFormatPr defaultRowHeight="18.75" x14ac:dyDescent="0.3"/>
  <cols>
    <col min="1" max="1" width="8.85546875" style="40" customWidth="1"/>
    <col min="2" max="2" width="55.85546875" customWidth="1"/>
    <col min="3" max="3" width="11.85546875" customWidth="1"/>
    <col min="4" max="4" width="13.85546875" customWidth="1"/>
    <col min="5" max="5" width="12.28515625" customWidth="1"/>
    <col min="6" max="6" width="9.28515625" customWidth="1"/>
    <col min="7" max="7" width="9.85546875" customWidth="1"/>
    <col min="8" max="8" width="9.140625" customWidth="1"/>
    <col min="9" max="9" width="10.28515625" customWidth="1"/>
    <col min="10" max="10" width="9.140625" customWidth="1"/>
    <col min="11" max="11" width="10.28515625" customWidth="1"/>
    <col min="12" max="12" width="9.140625" customWidth="1"/>
    <col min="13" max="13" width="10.28515625" customWidth="1"/>
    <col min="14" max="14" width="9.140625" customWidth="1"/>
    <col min="15" max="15" width="10.28515625" customWidth="1"/>
    <col min="16" max="16" width="9.140625" customWidth="1"/>
    <col min="17" max="17" width="9.7109375" customWidth="1"/>
    <col min="18" max="18" width="9.140625" customWidth="1"/>
    <col min="19" max="19" width="10.28515625" customWidth="1"/>
    <col min="20" max="20" width="9.140625" customWidth="1"/>
    <col min="21" max="21" width="10.28515625" customWidth="1"/>
    <col min="22" max="22" width="9.28515625" customWidth="1"/>
    <col min="23" max="23" width="10.28515625" customWidth="1"/>
    <col min="24" max="24" width="9.140625" customWidth="1"/>
    <col min="25" max="25" width="10.28515625" customWidth="1"/>
    <col min="26" max="26" width="9.140625" customWidth="1"/>
    <col min="27" max="27" width="10.28515625" customWidth="1"/>
    <col min="28" max="28" width="9.140625" customWidth="1"/>
    <col min="29" max="29" width="10.28515625" customWidth="1"/>
    <col min="30" max="30" width="11.85546875" style="37" customWidth="1"/>
    <col min="31" max="31" width="19.140625" hidden="1" customWidth="1"/>
    <col min="32" max="43" width="0" hidden="1" customWidth="1"/>
  </cols>
  <sheetData>
    <row r="1" spans="1:6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.75" customHeight="1" x14ac:dyDescent="0.3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60" ht="18" customHeight="1" x14ac:dyDescent="0.3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t="s">
        <v>4</v>
      </c>
      <c r="AF3" s="5">
        <f>SUM(D9:D10)</f>
        <v>28434.700000000004</v>
      </c>
    </row>
    <row r="4" spans="1:60" ht="17.25" customHeight="1" x14ac:dyDescent="0.2">
      <c r="A4" s="6" t="s">
        <v>5</v>
      </c>
      <c r="B4" s="7" t="s">
        <v>6</v>
      </c>
      <c r="C4" s="7" t="s">
        <v>7</v>
      </c>
      <c r="D4" s="7"/>
      <c r="E4" s="7"/>
      <c r="F4" s="7" t="s">
        <v>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9</v>
      </c>
      <c r="AE4" t="s">
        <v>10</v>
      </c>
      <c r="AF4" s="5">
        <f>D13</f>
        <v>7783.5999999999995</v>
      </c>
    </row>
    <row r="5" spans="1:60" ht="18.75" customHeight="1" x14ac:dyDescent="0.2">
      <c r="A5" s="6"/>
      <c r="B5" s="7"/>
      <c r="C5" s="7"/>
      <c r="D5" s="7"/>
      <c r="E5" s="7"/>
      <c r="F5" s="7">
        <v>1</v>
      </c>
      <c r="G5" s="7"/>
      <c r="H5" s="7">
        <v>2</v>
      </c>
      <c r="I5" s="7"/>
      <c r="J5" s="7">
        <v>3</v>
      </c>
      <c r="K5" s="7"/>
      <c r="L5" s="7">
        <v>4</v>
      </c>
      <c r="M5" s="7"/>
      <c r="N5" s="7">
        <v>5</v>
      </c>
      <c r="O5" s="7"/>
      <c r="P5" s="7">
        <v>6</v>
      </c>
      <c r="Q5" s="7"/>
      <c r="R5" s="7">
        <v>7</v>
      </c>
      <c r="S5" s="7"/>
      <c r="T5" s="7">
        <v>8</v>
      </c>
      <c r="U5" s="7"/>
      <c r="V5" s="7">
        <v>9</v>
      </c>
      <c r="W5" s="7"/>
      <c r="X5" s="7">
        <v>10</v>
      </c>
      <c r="Y5" s="7"/>
      <c r="Z5" s="7">
        <v>11</v>
      </c>
      <c r="AA5" s="7"/>
      <c r="AB5" s="7">
        <v>12</v>
      </c>
      <c r="AC5" s="7"/>
      <c r="AD5" s="8"/>
      <c r="AE5" t="s">
        <v>11</v>
      </c>
      <c r="AF5" s="5">
        <f>D16</f>
        <v>1252.2</v>
      </c>
    </row>
    <row r="6" spans="1:60" ht="32.25" customHeight="1" x14ac:dyDescent="0.2">
      <c r="A6" s="6"/>
      <c r="B6" s="7"/>
      <c r="C6" s="9" t="s">
        <v>12</v>
      </c>
      <c r="D6" s="9" t="s">
        <v>13</v>
      </c>
      <c r="E6" s="10" t="s">
        <v>14</v>
      </c>
      <c r="F6" s="9" t="s">
        <v>12</v>
      </c>
      <c r="G6" s="9" t="s">
        <v>13</v>
      </c>
      <c r="H6" s="9" t="s">
        <v>12</v>
      </c>
      <c r="I6" s="9" t="s">
        <v>13</v>
      </c>
      <c r="J6" s="9" t="s">
        <v>12</v>
      </c>
      <c r="K6" s="9" t="s">
        <v>13</v>
      </c>
      <c r="L6" s="9" t="s">
        <v>12</v>
      </c>
      <c r="M6" s="9" t="s">
        <v>13</v>
      </c>
      <c r="N6" s="9" t="s">
        <v>12</v>
      </c>
      <c r="O6" s="9" t="s">
        <v>13</v>
      </c>
      <c r="P6" s="9" t="s">
        <v>12</v>
      </c>
      <c r="Q6" s="9" t="s">
        <v>13</v>
      </c>
      <c r="R6" s="9" t="s">
        <v>12</v>
      </c>
      <c r="S6" s="9" t="s">
        <v>13</v>
      </c>
      <c r="T6" s="9" t="s">
        <v>12</v>
      </c>
      <c r="U6" s="9" t="s">
        <v>13</v>
      </c>
      <c r="V6" s="9" t="s">
        <v>12</v>
      </c>
      <c r="W6" s="9" t="s">
        <v>13</v>
      </c>
      <c r="X6" s="9" t="s">
        <v>12</v>
      </c>
      <c r="Y6" s="9" t="s">
        <v>13</v>
      </c>
      <c r="Z6" s="9" t="s">
        <v>12</v>
      </c>
      <c r="AA6" s="9" t="s">
        <v>13</v>
      </c>
      <c r="AB6" s="9" t="s">
        <v>12</v>
      </c>
      <c r="AC6" s="9" t="s">
        <v>13</v>
      </c>
      <c r="AD6" s="8"/>
      <c r="AE6" t="s">
        <v>15</v>
      </c>
      <c r="AF6" s="5">
        <f>D11-AF4-AF5+D48</f>
        <v>5015.3999999999996</v>
      </c>
    </row>
    <row r="7" spans="1:60" x14ac:dyDescent="0.2">
      <c r="A7" s="11">
        <v>1</v>
      </c>
      <c r="B7" s="12" t="s">
        <v>16</v>
      </c>
      <c r="C7" s="13">
        <f>F7+H7+J7+L7+N7+P7+R7+T7+V7+X7+Z7+AB7</f>
        <v>49278.3</v>
      </c>
      <c r="D7" s="13">
        <f>G7+I7+K7+M7+O7+Q7+S7+U7+W7+Y7+AA7+AC7</f>
        <v>49264.999999999993</v>
      </c>
      <c r="E7" s="13">
        <f>D7/C7%</f>
        <v>99.973010432583905</v>
      </c>
      <c r="F7" s="13">
        <f t="shared" ref="F7:AC7" si="0">F9+F10+F11+F21+F26+F44</f>
        <v>3980.8999999999996</v>
      </c>
      <c r="G7" s="14">
        <f t="shared" si="0"/>
        <v>2422</v>
      </c>
      <c r="H7" s="13">
        <f t="shared" si="0"/>
        <v>4069.9999999999995</v>
      </c>
      <c r="I7" s="14">
        <f t="shared" si="0"/>
        <v>3670.2999999999993</v>
      </c>
      <c r="J7" s="13">
        <f t="shared" si="0"/>
        <v>4918.3000000000011</v>
      </c>
      <c r="K7" s="14">
        <f t="shared" si="0"/>
        <v>3758.1999999999994</v>
      </c>
      <c r="L7" s="13">
        <f>L9+L10+L11+L21+L26+L44</f>
        <v>4258.2</v>
      </c>
      <c r="M7" s="13">
        <f t="shared" si="0"/>
        <v>5058.8999999999996</v>
      </c>
      <c r="N7" s="13">
        <f t="shared" si="0"/>
        <v>4573.2000000000007</v>
      </c>
      <c r="O7" s="14">
        <f t="shared" si="0"/>
        <v>4168.2</v>
      </c>
      <c r="P7" s="13">
        <f t="shared" si="0"/>
        <v>4386.9000000000005</v>
      </c>
      <c r="Q7" s="14">
        <f t="shared" si="0"/>
        <v>5293.8</v>
      </c>
      <c r="R7" s="13">
        <f t="shared" si="0"/>
        <v>4131.5999999999995</v>
      </c>
      <c r="S7" s="14">
        <f t="shared" si="0"/>
        <v>3859.9000000000005</v>
      </c>
      <c r="T7" s="13">
        <f t="shared" si="0"/>
        <v>3383.7000000000003</v>
      </c>
      <c r="U7" s="14">
        <f t="shared" si="0"/>
        <v>4469.3</v>
      </c>
      <c r="V7" s="13">
        <f t="shared" si="0"/>
        <v>3889.5000000000005</v>
      </c>
      <c r="W7" s="13">
        <f t="shared" si="0"/>
        <v>3322.6</v>
      </c>
      <c r="X7" s="13">
        <f t="shared" si="0"/>
        <v>3975.1</v>
      </c>
      <c r="Y7" s="14">
        <f t="shared" si="0"/>
        <v>3967.7</v>
      </c>
      <c r="Z7" s="13">
        <f t="shared" si="0"/>
        <v>4860.8999999999996</v>
      </c>
      <c r="AA7" s="13">
        <f t="shared" si="0"/>
        <v>3678.1</v>
      </c>
      <c r="AB7" s="13">
        <f t="shared" si="0"/>
        <v>2850.0000000000005</v>
      </c>
      <c r="AC7" s="13">
        <f t="shared" si="0"/>
        <v>5596</v>
      </c>
      <c r="AD7" s="13">
        <f>C7-D7</f>
        <v>13.300000000010186</v>
      </c>
      <c r="AE7" t="s">
        <v>17</v>
      </c>
      <c r="AF7" s="5">
        <f>D21</f>
        <v>948.19999999999982</v>
      </c>
    </row>
    <row r="8" spans="1:60" x14ac:dyDescent="0.2">
      <c r="A8" s="15"/>
      <c r="B8" s="16" t="s">
        <v>18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t="s">
        <v>19</v>
      </c>
      <c r="AF8" s="5">
        <f>SUM(D26)</f>
        <v>1006.7</v>
      </c>
    </row>
    <row r="9" spans="1:60" x14ac:dyDescent="0.2">
      <c r="A9" s="15" t="s">
        <v>20</v>
      </c>
      <c r="B9" s="16" t="s">
        <v>21</v>
      </c>
      <c r="C9" s="17">
        <f>F9+H9+J9+L9+N9+P9+R9+T9+V9+X9+Z9+AB9</f>
        <v>23329.5</v>
      </c>
      <c r="D9" s="17">
        <f>G9+I9+K9+M9+O9+Q9+S9+U9+W9+Y9+AA9+AC9</f>
        <v>23329.500000000004</v>
      </c>
      <c r="E9" s="17">
        <f>D9/C9%</f>
        <v>100.00000000000001</v>
      </c>
      <c r="F9" s="18">
        <f>1860.8+104.5</f>
        <v>1965.3</v>
      </c>
      <c r="G9" s="18">
        <f>1469.1+103.9</f>
        <v>1573</v>
      </c>
      <c r="H9" s="18">
        <f>1836.7+101.5</f>
        <v>1938.2</v>
      </c>
      <c r="I9" s="18">
        <f>1932.8+102.1</f>
        <v>2034.8999999999999</v>
      </c>
      <c r="J9" s="20">
        <f>1864.4+107.6</f>
        <v>1972</v>
      </c>
      <c r="K9" s="18">
        <f>1935.2+86.1-2.5-1.7</f>
        <v>2017.1</v>
      </c>
      <c r="L9" s="18">
        <f>1818.8+104.7</f>
        <v>1923.5</v>
      </c>
      <c r="M9" s="18">
        <f>1996.6+94.6</f>
        <v>2091.1999999999998</v>
      </c>
      <c r="N9" s="18">
        <f>1985+100.7</f>
        <v>2085.6999999999998</v>
      </c>
      <c r="O9" s="18">
        <f>1906.5+72.1</f>
        <v>1978.6</v>
      </c>
      <c r="P9" s="17">
        <f>1856.4+100.6</f>
        <v>1957</v>
      </c>
      <c r="Q9" s="18">
        <f>1954.1+96</f>
        <v>2050.1</v>
      </c>
      <c r="R9" s="18">
        <f>1818.8+88.3</f>
        <v>1907.1</v>
      </c>
      <c r="S9" s="18">
        <f>1843.8+71.9</f>
        <v>1915.7</v>
      </c>
      <c r="T9" s="17">
        <f>1866+56</f>
        <v>1922</v>
      </c>
      <c r="U9" s="18">
        <f>1866.4+95.1</f>
        <v>1961.5</v>
      </c>
      <c r="V9" s="18">
        <f>1726+95.2</f>
        <v>1821.2</v>
      </c>
      <c r="W9" s="18">
        <f>1468.4+71.9</f>
        <v>1540.3000000000002</v>
      </c>
      <c r="X9" s="18">
        <v>1905.8</v>
      </c>
      <c r="Y9" s="18">
        <f>2001.3+95.2</f>
        <v>2096.5</v>
      </c>
      <c r="Z9" s="18">
        <v>2324.4</v>
      </c>
      <c r="AA9" s="18">
        <f>1574.9+90.8</f>
        <v>1665.7</v>
      </c>
      <c r="AB9" s="18">
        <v>1607.3</v>
      </c>
      <c r="AC9" s="18">
        <f>2324.9+80</f>
        <v>2404.9</v>
      </c>
      <c r="AD9" s="19">
        <f>C9-D9</f>
        <v>0</v>
      </c>
      <c r="AE9" t="s">
        <v>22</v>
      </c>
      <c r="AF9" s="5">
        <f>D46</f>
        <v>5192.5999999999995</v>
      </c>
    </row>
    <row r="10" spans="1:60" x14ac:dyDescent="0.2">
      <c r="A10" s="15" t="s">
        <v>23</v>
      </c>
      <c r="B10" s="16" t="s">
        <v>24</v>
      </c>
      <c r="C10" s="17">
        <f t="shared" ref="C10:D56" si="1">F10+H10+J10+L10+N10+P10+R10+T10+V10+X10+Z10+AB10</f>
        <v>5105.5999999999995</v>
      </c>
      <c r="D10" s="17">
        <f t="shared" si="1"/>
        <v>5105.2</v>
      </c>
      <c r="E10" s="17">
        <f>D10/C10%</f>
        <v>99.992165465371357</v>
      </c>
      <c r="F10" s="18">
        <f>409.4+18.3</f>
        <v>427.7</v>
      </c>
      <c r="G10" s="18">
        <f>328+18.1</f>
        <v>346.1</v>
      </c>
      <c r="H10" s="18">
        <f>404.1+22.3</f>
        <v>426.40000000000003</v>
      </c>
      <c r="I10" s="18">
        <f>409.4+19.4</f>
        <v>428.79999999999995</v>
      </c>
      <c r="J10" s="18">
        <f>410.2+23.7</f>
        <v>433.9</v>
      </c>
      <c r="K10" s="18">
        <f>432+17.1</f>
        <v>449.1</v>
      </c>
      <c r="L10" s="18">
        <f>400.1+23.1</f>
        <v>423.20000000000005</v>
      </c>
      <c r="M10" s="18">
        <f>444.6+17.9</f>
        <v>462.5</v>
      </c>
      <c r="N10" s="18">
        <f>436.7+22.1</f>
        <v>458.8</v>
      </c>
      <c r="O10" s="18">
        <f>415.4+12.8</f>
        <v>428.2</v>
      </c>
      <c r="P10" s="18">
        <f>423.5+22.2</f>
        <v>445.7</v>
      </c>
      <c r="Q10" s="18">
        <f>454.4+16.6</f>
        <v>471</v>
      </c>
      <c r="R10" s="18">
        <f>400.1+19.5</f>
        <v>419.6</v>
      </c>
      <c r="S10" s="18">
        <f>399.4+15.2</f>
        <v>414.59999999999997</v>
      </c>
      <c r="T10" s="18">
        <f>410.5+13.3</f>
        <v>423.8</v>
      </c>
      <c r="U10" s="18">
        <f>408+16.1</f>
        <v>424.1</v>
      </c>
      <c r="V10" s="18">
        <f>379.7+21.9</f>
        <v>401.59999999999997</v>
      </c>
      <c r="W10" s="18">
        <f>363.3+16.1</f>
        <v>379.40000000000003</v>
      </c>
      <c r="X10" s="18">
        <v>419.4</v>
      </c>
      <c r="Y10" s="18">
        <f>402.9+20.3</f>
        <v>423.2</v>
      </c>
      <c r="Z10" s="18">
        <v>490.7</v>
      </c>
      <c r="AA10" s="18">
        <f>378.5+18.4</f>
        <v>396.9</v>
      </c>
      <c r="AB10" s="18">
        <v>334.8</v>
      </c>
      <c r="AC10" s="18">
        <f>463.9+17.4</f>
        <v>481.29999999999995</v>
      </c>
      <c r="AD10" s="19">
        <f>C10-D10</f>
        <v>0.3999999999996362</v>
      </c>
    </row>
    <row r="11" spans="1:60" x14ac:dyDescent="0.2">
      <c r="A11" s="15" t="s">
        <v>25</v>
      </c>
      <c r="B11" s="16" t="s">
        <v>26</v>
      </c>
      <c r="C11" s="17">
        <f t="shared" si="1"/>
        <v>13686.6</v>
      </c>
      <c r="D11" s="17">
        <f t="shared" si="1"/>
        <v>13682.8</v>
      </c>
      <c r="E11" s="17">
        <f>D11/C11%</f>
        <v>99.972235617319114</v>
      </c>
      <c r="F11" s="18">
        <f>SUM(F12:F20)</f>
        <v>1050.7</v>
      </c>
      <c r="G11" s="18">
        <f t="shared" ref="G11:R11" si="2">SUM(G12:G20)</f>
        <v>93.9</v>
      </c>
      <c r="H11" s="17">
        <f>SUM(H12:H20)</f>
        <v>1131.0999999999999</v>
      </c>
      <c r="I11" s="18">
        <f t="shared" si="2"/>
        <v>694.7</v>
      </c>
      <c r="J11" s="18">
        <f>SUM(J12:J20)</f>
        <v>1880.3000000000002</v>
      </c>
      <c r="K11" s="18">
        <f>SUM(K12:K20)</f>
        <v>643.69999999999993</v>
      </c>
      <c r="L11" s="18">
        <f t="shared" si="2"/>
        <v>1287.8</v>
      </c>
      <c r="M11" s="18">
        <f t="shared" si="2"/>
        <v>1878.8000000000002</v>
      </c>
      <c r="N11" s="18">
        <f t="shared" si="2"/>
        <v>1378.8000000000002</v>
      </c>
      <c r="O11" s="18">
        <f t="shared" si="2"/>
        <v>1171</v>
      </c>
      <c r="P11" s="18">
        <f t="shared" si="2"/>
        <v>1062.9000000000001</v>
      </c>
      <c r="Q11" s="18">
        <f t="shared" si="2"/>
        <v>1907.3999999999999</v>
      </c>
      <c r="R11" s="18">
        <f t="shared" si="2"/>
        <v>1219.7</v>
      </c>
      <c r="S11" s="18">
        <f>SUM(S12:S20)</f>
        <v>1134.5</v>
      </c>
      <c r="T11" s="17">
        <f>SUM(T12:T20)</f>
        <v>657.9</v>
      </c>
      <c r="U11" s="18">
        <f>SUM(U12:U20)</f>
        <v>1628.8999999999999</v>
      </c>
      <c r="V11" s="18">
        <f>SUM(V12:V20)</f>
        <v>1261.3000000000002</v>
      </c>
      <c r="W11" s="17">
        <f>SUM(W12:W20)</f>
        <v>992.3</v>
      </c>
      <c r="X11" s="18">
        <f t="shared" ref="X11:AC11" si="3">SUM(X12:X20)</f>
        <v>1017.7</v>
      </c>
      <c r="Y11" s="18">
        <f t="shared" si="3"/>
        <v>793.6</v>
      </c>
      <c r="Z11" s="18">
        <f t="shared" si="3"/>
        <v>1118.3999999999999</v>
      </c>
      <c r="AA11" s="18">
        <f t="shared" si="3"/>
        <v>1003.6000000000001</v>
      </c>
      <c r="AB11" s="18">
        <f t="shared" si="3"/>
        <v>620</v>
      </c>
      <c r="AC11" s="18">
        <f t="shared" si="3"/>
        <v>1740.4</v>
      </c>
      <c r="AD11" s="19">
        <f>C11-D11</f>
        <v>3.8000000000010914</v>
      </c>
    </row>
    <row r="12" spans="1:60" x14ac:dyDescent="0.2">
      <c r="A12" s="15"/>
      <c r="B12" s="16" t="s">
        <v>27</v>
      </c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1:60" x14ac:dyDescent="0.2">
      <c r="A13" s="15" t="s">
        <v>28</v>
      </c>
      <c r="B13" s="16" t="s">
        <v>29</v>
      </c>
      <c r="C13" s="17">
        <f t="shared" ref="C13:D15" si="4">F13+H13+J13+L13+N13+P13+R13+T13+V13+X13+Z13+AB13</f>
        <v>7783.5999999999995</v>
      </c>
      <c r="D13" s="17">
        <f t="shared" si="4"/>
        <v>7783.5999999999995</v>
      </c>
      <c r="E13" s="17">
        <f>D13/C13%</f>
        <v>100</v>
      </c>
      <c r="F13" s="21">
        <v>696.7</v>
      </c>
      <c r="G13" s="21">
        <v>93.9</v>
      </c>
      <c r="H13" s="21">
        <v>509.7</v>
      </c>
      <c r="I13" s="21">
        <v>666.3</v>
      </c>
      <c r="J13" s="21">
        <v>501.8</v>
      </c>
      <c r="K13" s="21">
        <v>533.5</v>
      </c>
      <c r="L13" s="22">
        <v>559.20000000000005</v>
      </c>
      <c r="M13" s="21">
        <v>805.1</v>
      </c>
      <c r="N13" s="21">
        <v>440.2</v>
      </c>
      <c r="O13" s="21">
        <v>444.6</v>
      </c>
      <c r="P13" s="21">
        <v>581.9</v>
      </c>
      <c r="Q13" s="21">
        <v>572.70000000000005</v>
      </c>
      <c r="R13" s="21">
        <v>637.9</v>
      </c>
      <c r="S13" s="21">
        <f>550.6</f>
        <v>550.6</v>
      </c>
      <c r="T13" s="21">
        <v>540.1</v>
      </c>
      <c r="U13" s="21">
        <f>674.6</f>
        <v>674.6</v>
      </c>
      <c r="V13" s="21">
        <v>843.7</v>
      </c>
      <c r="W13" s="21">
        <v>725.9</v>
      </c>
      <c r="X13" s="21">
        <v>823.4</v>
      </c>
      <c r="Y13" s="21">
        <f>597.6</f>
        <v>597.6</v>
      </c>
      <c r="Z13" s="21">
        <v>1100.2</v>
      </c>
      <c r="AA13" s="21">
        <f>693.4+58.2</f>
        <v>751.6</v>
      </c>
      <c r="AB13" s="21">
        <v>548.79999999999995</v>
      </c>
      <c r="AC13" s="21">
        <v>1367.2</v>
      </c>
      <c r="AD13" s="19">
        <f>C13-D13</f>
        <v>0</v>
      </c>
    </row>
    <row r="14" spans="1:60" x14ac:dyDescent="0.2">
      <c r="A14" s="15" t="s">
        <v>30</v>
      </c>
      <c r="B14" s="16" t="s">
        <v>31</v>
      </c>
      <c r="C14" s="17">
        <f t="shared" si="4"/>
        <v>3528.4999999999995</v>
      </c>
      <c r="D14" s="17">
        <f t="shared" si="4"/>
        <v>3528.3</v>
      </c>
      <c r="E14" s="17">
        <f>D14/C14%</f>
        <v>99.994331869066187</v>
      </c>
      <c r="F14" s="21">
        <f>12.1+21.7</f>
        <v>33.799999999999997</v>
      </c>
      <c r="G14" s="21"/>
      <c r="H14" s="21">
        <v>356.1</v>
      </c>
      <c r="I14" s="21">
        <f>3.6+10.2+0.4</f>
        <v>14.2</v>
      </c>
      <c r="J14" s="21">
        <v>643.9</v>
      </c>
      <c r="K14" s="21">
        <f>77.3+0.6+0.4</f>
        <v>78.3</v>
      </c>
      <c r="L14" s="21">
        <f>276.4+0.2</f>
        <v>276.59999999999997</v>
      </c>
      <c r="M14" s="21">
        <f>201.7+4.5</f>
        <v>206.2</v>
      </c>
      <c r="N14" s="21">
        <f>560.5+23.3</f>
        <v>583.79999999999995</v>
      </c>
      <c r="O14" s="21">
        <f>234.4+9+77.8</f>
        <v>321.2</v>
      </c>
      <c r="P14" s="21">
        <v>294.5</v>
      </c>
      <c r="Q14" s="21">
        <v>637.4</v>
      </c>
      <c r="R14" s="21">
        <v>547.1</v>
      </c>
      <c r="S14" s="21">
        <f>433.7+9.8</f>
        <v>443.5</v>
      </c>
      <c r="T14" s="21">
        <v>97.4</v>
      </c>
      <c r="U14" s="21">
        <f>824.3+1+35.7</f>
        <v>861</v>
      </c>
      <c r="V14" s="21">
        <v>413.2</v>
      </c>
      <c r="W14" s="21">
        <f>235.5+26.2</f>
        <v>261.7</v>
      </c>
      <c r="X14" s="21">
        <v>194.3</v>
      </c>
      <c r="Y14" s="21">
        <f>111.8+0.2+40.5</f>
        <v>152.5</v>
      </c>
      <c r="Z14" s="21">
        <v>16.600000000000001</v>
      </c>
      <c r="AA14" s="21">
        <f>115.2+12.4+78.2</f>
        <v>205.8</v>
      </c>
      <c r="AB14" s="21">
        <v>71.2</v>
      </c>
      <c r="AC14" s="21">
        <f>157.4+189.1</f>
        <v>346.5</v>
      </c>
      <c r="AD14" s="19">
        <f t="shared" ref="AD14:AD21" si="5">C14-D14</f>
        <v>0.19999999999936335</v>
      </c>
    </row>
    <row r="15" spans="1:60" x14ac:dyDescent="0.2">
      <c r="A15" s="15" t="s">
        <v>32</v>
      </c>
      <c r="B15" s="16" t="s">
        <v>33</v>
      </c>
      <c r="C15" s="17">
        <f t="shared" si="4"/>
        <v>0</v>
      </c>
      <c r="D15" s="17">
        <f t="shared" si="4"/>
        <v>0</v>
      </c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9">
        <f t="shared" si="5"/>
        <v>0</v>
      </c>
    </row>
    <row r="16" spans="1:60" x14ac:dyDescent="0.2">
      <c r="A16" s="15" t="s">
        <v>34</v>
      </c>
      <c r="B16" s="16" t="s">
        <v>35</v>
      </c>
      <c r="C16" s="17">
        <f t="shared" si="1"/>
        <v>1255.8000000000002</v>
      </c>
      <c r="D16" s="17">
        <f>G16+I16+K16+M16+O16+Q16+S16+U16+W16+Y16+AA16+AC16</f>
        <v>1252.2</v>
      </c>
      <c r="E16" s="17">
        <f>D16/C16%</f>
        <v>99.713330148112746</v>
      </c>
      <c r="F16" s="21">
        <v>320.2</v>
      </c>
      <c r="G16" s="21"/>
      <c r="H16" s="21">
        <v>265.3</v>
      </c>
      <c r="I16" s="21">
        <v>14.2</v>
      </c>
      <c r="J16" s="21">
        <v>185.7</v>
      </c>
      <c r="K16" s="21">
        <v>31.9</v>
      </c>
      <c r="L16" s="21">
        <v>316.8</v>
      </c>
      <c r="M16" s="21">
        <v>183.9</v>
      </c>
      <c r="N16" s="21">
        <f>7.9</f>
        <v>7.9</v>
      </c>
      <c r="O16" s="21">
        <v>168.4</v>
      </c>
      <c r="P16" s="21">
        <v>119</v>
      </c>
      <c r="Q16" s="21">
        <v>519.20000000000005</v>
      </c>
      <c r="R16" s="21">
        <v>14.5</v>
      </c>
      <c r="S16" s="21">
        <f>140.4</f>
        <v>140.4</v>
      </c>
      <c r="T16" s="21">
        <v>20.399999999999999</v>
      </c>
      <c r="U16" s="21">
        <v>73.099999999999994</v>
      </c>
      <c r="V16" s="21">
        <v>4.4000000000000004</v>
      </c>
      <c r="W16" s="21">
        <v>4.7</v>
      </c>
      <c r="X16" s="21"/>
      <c r="Y16" s="21">
        <v>43.5</v>
      </c>
      <c r="Z16" s="21">
        <v>1.6</v>
      </c>
      <c r="AA16" s="21">
        <v>46.2</v>
      </c>
      <c r="AB16" s="21"/>
      <c r="AC16" s="21">
        <v>26.7</v>
      </c>
      <c r="AD16" s="19">
        <f t="shared" si="5"/>
        <v>3.6000000000001364</v>
      </c>
    </row>
    <row r="17" spans="1:30" s="25" customFormat="1" x14ac:dyDescent="0.2">
      <c r="A17" s="15" t="s">
        <v>36</v>
      </c>
      <c r="B17" s="16" t="s">
        <v>37</v>
      </c>
      <c r="C17" s="17">
        <f t="shared" si="1"/>
        <v>1118.7</v>
      </c>
      <c r="D17" s="17">
        <f>G17+I17+K17+M17+O17+Q17+S17+U17+W17+Y17+AA17+AC17</f>
        <v>1118.7</v>
      </c>
      <c r="E17" s="17">
        <f t="shared" ref="E17" si="6">D17/C17%</f>
        <v>100</v>
      </c>
      <c r="F17" s="18"/>
      <c r="G17" s="18"/>
      <c r="H17" s="18"/>
      <c r="I17" s="18"/>
      <c r="J17" s="18">
        <v>548.9</v>
      </c>
      <c r="K17" s="23"/>
      <c r="L17" s="18">
        <v>135.19999999999999</v>
      </c>
      <c r="M17" s="18">
        <v>683.6</v>
      </c>
      <c r="N17" s="18">
        <v>346.9</v>
      </c>
      <c r="O17" s="18">
        <v>236.8</v>
      </c>
      <c r="P17" s="18">
        <v>67.5</v>
      </c>
      <c r="Q17" s="18">
        <v>178.1</v>
      </c>
      <c r="R17" s="18">
        <v>20.2</v>
      </c>
      <c r="S17" s="18"/>
      <c r="T17" s="18"/>
      <c r="U17" s="18">
        <v>20.2</v>
      </c>
      <c r="V17" s="18"/>
      <c r="W17" s="24"/>
      <c r="X17" s="24"/>
      <c r="Y17" s="24"/>
      <c r="Z17" s="24"/>
      <c r="AA17" s="24"/>
      <c r="AB17" s="24"/>
      <c r="AC17" s="24"/>
      <c r="AD17" s="19">
        <f t="shared" si="5"/>
        <v>0</v>
      </c>
    </row>
    <row r="18" spans="1:30" x14ac:dyDescent="0.2">
      <c r="A18" s="15" t="s">
        <v>38</v>
      </c>
      <c r="B18" s="16" t="s">
        <v>39</v>
      </c>
      <c r="C18" s="17">
        <f>F18+H18+J18+L18+N18+P18+R18+T18+V18+X18+Z18+AB18</f>
        <v>0</v>
      </c>
      <c r="D18" s="17">
        <f t="shared" si="1"/>
        <v>0</v>
      </c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19">
        <f>C18-D18</f>
        <v>0</v>
      </c>
    </row>
    <row r="19" spans="1:30" x14ac:dyDescent="0.2">
      <c r="A19" s="15" t="s">
        <v>40</v>
      </c>
      <c r="B19" s="16" t="s">
        <v>41</v>
      </c>
      <c r="C19" s="17"/>
      <c r="D19" s="17"/>
      <c r="E19" s="17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9"/>
    </row>
    <row r="20" spans="1:30" ht="37.5" x14ac:dyDescent="0.2">
      <c r="A20" s="15" t="s">
        <v>42</v>
      </c>
      <c r="B20" s="16" t="s">
        <v>43</v>
      </c>
      <c r="C20" s="17">
        <f t="shared" si="1"/>
        <v>0</v>
      </c>
      <c r="D20" s="17">
        <f t="shared" si="1"/>
        <v>0</v>
      </c>
      <c r="E20" s="17"/>
      <c r="F20" s="21"/>
      <c r="G20" s="21"/>
      <c r="H20" s="21"/>
      <c r="I20" s="21"/>
      <c r="J20" s="21"/>
      <c r="K20" s="2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1"/>
      <c r="AD20" s="19">
        <f t="shared" si="5"/>
        <v>0</v>
      </c>
    </row>
    <row r="21" spans="1:30" x14ac:dyDescent="0.2">
      <c r="A21" s="15" t="s">
        <v>44</v>
      </c>
      <c r="B21" s="16" t="s">
        <v>45</v>
      </c>
      <c r="C21" s="17">
        <f t="shared" si="1"/>
        <v>950.29999999999984</v>
      </c>
      <c r="D21" s="17">
        <f t="shared" si="1"/>
        <v>948.19999999999982</v>
      </c>
      <c r="E21" s="17">
        <f>D21/C21%</f>
        <v>99.779017152478161</v>
      </c>
      <c r="F21" s="18">
        <f>SUM(F23:F25)</f>
        <v>70.7</v>
      </c>
      <c r="G21" s="18">
        <f t="shared" ref="G21:T21" si="7">SUM(G23:G25)</f>
        <v>0</v>
      </c>
      <c r="H21" s="18">
        <f t="shared" si="7"/>
        <v>113.7</v>
      </c>
      <c r="I21" s="18">
        <f t="shared" si="7"/>
        <v>105.19999999999999</v>
      </c>
      <c r="J21" s="18">
        <f t="shared" si="7"/>
        <v>132.69999999999999</v>
      </c>
      <c r="K21" s="18">
        <f t="shared" si="7"/>
        <v>100.1</v>
      </c>
      <c r="L21" s="18">
        <f>SUM(L23:L25)</f>
        <v>126.20000000000002</v>
      </c>
      <c r="M21" s="18">
        <f>SUM(M23:M25)</f>
        <v>153.4</v>
      </c>
      <c r="N21" s="18">
        <f>SUM(N23:N25)</f>
        <v>99.4</v>
      </c>
      <c r="O21" s="18">
        <f>SUM(O23:O25)</f>
        <v>76.599999999999994</v>
      </c>
      <c r="P21" s="18">
        <f t="shared" si="7"/>
        <v>103.3</v>
      </c>
      <c r="Q21" s="18">
        <f t="shared" si="7"/>
        <v>51.699999999999996</v>
      </c>
      <c r="R21" s="18">
        <f t="shared" si="7"/>
        <v>134.9</v>
      </c>
      <c r="S21" s="18">
        <f t="shared" si="7"/>
        <v>50.3</v>
      </c>
      <c r="T21" s="18">
        <f t="shared" si="7"/>
        <v>42.9</v>
      </c>
      <c r="U21" s="18">
        <f>SUM(U23:U25)</f>
        <v>32.5</v>
      </c>
      <c r="V21" s="18">
        <f>SUM(V23:V25)</f>
        <v>47.400000000000006</v>
      </c>
      <c r="W21" s="18">
        <f>SUM(W23:W25)</f>
        <v>49.5</v>
      </c>
      <c r="X21" s="18">
        <f t="shared" ref="X21:AC21" si="8">SUM(X23:X25)</f>
        <v>10.4</v>
      </c>
      <c r="Y21" s="18">
        <f t="shared" si="8"/>
        <v>29.8</v>
      </c>
      <c r="Z21" s="18">
        <f t="shared" si="8"/>
        <v>32.9</v>
      </c>
      <c r="AA21" s="18">
        <f t="shared" si="8"/>
        <v>28.299999999999997</v>
      </c>
      <c r="AB21" s="18">
        <f t="shared" si="8"/>
        <v>35.799999999999997</v>
      </c>
      <c r="AC21" s="18">
        <f t="shared" si="8"/>
        <v>270.79999999999995</v>
      </c>
      <c r="AD21" s="19">
        <f t="shared" si="5"/>
        <v>2.1000000000000227</v>
      </c>
    </row>
    <row r="22" spans="1:30" x14ac:dyDescent="0.2">
      <c r="A22" s="15"/>
      <c r="B22" s="16" t="s">
        <v>27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  <row r="23" spans="1:30" s="28" customFormat="1" x14ac:dyDescent="0.3">
      <c r="A23" s="15" t="s">
        <v>46</v>
      </c>
      <c r="B23" s="27" t="s">
        <v>47</v>
      </c>
      <c r="C23" s="17">
        <f t="shared" si="1"/>
        <v>129.1</v>
      </c>
      <c r="D23" s="17">
        <f t="shared" si="1"/>
        <v>129</v>
      </c>
      <c r="E23" s="17">
        <f>D23/C23%</f>
        <v>99.922540666150283</v>
      </c>
      <c r="F23" s="21">
        <v>21</v>
      </c>
      <c r="G23" s="21"/>
      <c r="H23" s="21">
        <v>49.1</v>
      </c>
      <c r="I23" s="21"/>
      <c r="J23" s="21">
        <v>36</v>
      </c>
      <c r="K23" s="21">
        <v>84.6</v>
      </c>
      <c r="L23" s="21">
        <v>19.600000000000001</v>
      </c>
      <c r="M23" s="21"/>
      <c r="N23" s="21"/>
      <c r="O23" s="21">
        <v>19.2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3.4</v>
      </c>
      <c r="AC23" s="21">
        <v>25.2</v>
      </c>
      <c r="AD23" s="19">
        <f>C23-D23</f>
        <v>9.9999999999994316E-2</v>
      </c>
    </row>
    <row r="24" spans="1:30" s="28" customFormat="1" x14ac:dyDescent="0.3">
      <c r="A24" s="15" t="s">
        <v>48</v>
      </c>
      <c r="B24" s="27" t="s">
        <v>49</v>
      </c>
      <c r="C24" s="17">
        <f t="shared" si="1"/>
        <v>641.70000000000005</v>
      </c>
      <c r="D24" s="17">
        <f t="shared" si="1"/>
        <v>641.1</v>
      </c>
      <c r="E24" s="17">
        <f>D24/C24%</f>
        <v>99.906498363721354</v>
      </c>
      <c r="F24" s="21">
        <v>41.5</v>
      </c>
      <c r="G24" s="21"/>
      <c r="H24" s="21">
        <v>52.9</v>
      </c>
      <c r="I24" s="21">
        <f>73.7+14.1</f>
        <v>87.8</v>
      </c>
      <c r="J24" s="21">
        <f>52.8+19.9</f>
        <v>72.699999999999989</v>
      </c>
      <c r="K24" s="21">
        <f>1.7+5.5</f>
        <v>7.2</v>
      </c>
      <c r="L24" s="21">
        <v>91.2</v>
      </c>
      <c r="M24" s="21">
        <f>124+29.4</f>
        <v>153.4</v>
      </c>
      <c r="N24" s="21">
        <f>57.2+9.8</f>
        <v>67</v>
      </c>
      <c r="O24" s="21">
        <f>44.5+12.9</f>
        <v>57.4</v>
      </c>
      <c r="P24" s="21">
        <v>55.8</v>
      </c>
      <c r="Q24" s="21">
        <v>0.9</v>
      </c>
      <c r="R24" s="21">
        <v>128.6</v>
      </c>
      <c r="S24" s="21">
        <f>27.8+2.5</f>
        <v>30.3</v>
      </c>
      <c r="T24" s="21">
        <v>35.9</v>
      </c>
      <c r="U24" s="21">
        <f>24.6+2.9</f>
        <v>27.5</v>
      </c>
      <c r="V24" s="21">
        <v>39.700000000000003</v>
      </c>
      <c r="W24" s="21">
        <f>8+1.2</f>
        <v>9.1999999999999993</v>
      </c>
      <c r="X24" s="21">
        <v>6.5</v>
      </c>
      <c r="Y24" s="21">
        <f>23.8+4.8</f>
        <v>28.6</v>
      </c>
      <c r="Z24" s="21">
        <v>22.9</v>
      </c>
      <c r="AA24" s="21">
        <v>11.1</v>
      </c>
      <c r="AB24" s="21">
        <v>27</v>
      </c>
      <c r="AC24" s="21">
        <f>174.7+53</f>
        <v>227.7</v>
      </c>
      <c r="AD24" s="19">
        <f>C24-D24</f>
        <v>0.60000000000002274</v>
      </c>
    </row>
    <row r="25" spans="1:30" s="28" customFormat="1" x14ac:dyDescent="0.3">
      <c r="A25" s="15" t="s">
        <v>50</v>
      </c>
      <c r="B25" s="27" t="s">
        <v>51</v>
      </c>
      <c r="C25" s="17">
        <f t="shared" si="1"/>
        <v>179.5</v>
      </c>
      <c r="D25" s="17">
        <f t="shared" si="1"/>
        <v>178.1</v>
      </c>
      <c r="E25" s="17">
        <f>D25/C25%</f>
        <v>99.220055710306411</v>
      </c>
      <c r="F25" s="21">
        <f>7.9+0.3</f>
        <v>8.2000000000000011</v>
      </c>
      <c r="G25" s="21"/>
      <c r="H25" s="21">
        <f>11.3+0.4</f>
        <v>11.700000000000001</v>
      </c>
      <c r="I25" s="21">
        <f>16.9+0.5</f>
        <v>17.399999999999999</v>
      </c>
      <c r="J25" s="21">
        <f>23.2+0.8</f>
        <v>24</v>
      </c>
      <c r="K25" s="21">
        <f>8+0.3</f>
        <v>8.3000000000000007</v>
      </c>
      <c r="L25" s="21">
        <f>15.1+0.3</f>
        <v>15.4</v>
      </c>
      <c r="M25" s="21"/>
      <c r="N25" s="21">
        <f>32.1+0.3</f>
        <v>32.4</v>
      </c>
      <c r="O25" s="21"/>
      <c r="P25" s="21">
        <v>47.5</v>
      </c>
      <c r="Q25" s="21">
        <f>49.8+1</f>
        <v>50.8</v>
      </c>
      <c r="R25" s="21">
        <v>6.3</v>
      </c>
      <c r="S25" s="21">
        <f>19.6+0.4</f>
        <v>20</v>
      </c>
      <c r="T25" s="21">
        <v>7</v>
      </c>
      <c r="U25" s="21">
        <v>5</v>
      </c>
      <c r="V25" s="21">
        <v>7.7</v>
      </c>
      <c r="W25" s="21">
        <f>39.9+0.4</f>
        <v>40.299999999999997</v>
      </c>
      <c r="X25" s="21">
        <v>3.9</v>
      </c>
      <c r="Y25" s="21">
        <v>1.2</v>
      </c>
      <c r="Z25" s="21">
        <v>10</v>
      </c>
      <c r="AA25" s="21">
        <f>16.8+0.4</f>
        <v>17.2</v>
      </c>
      <c r="AB25" s="21">
        <v>5.4</v>
      </c>
      <c r="AC25" s="21">
        <f>14.4+3.5</f>
        <v>17.899999999999999</v>
      </c>
      <c r="AD25" s="19">
        <f>C25-D25</f>
        <v>1.4000000000000057</v>
      </c>
    </row>
    <row r="26" spans="1:30" s="28" customFormat="1" x14ac:dyDescent="0.25">
      <c r="A26" s="15" t="s">
        <v>52</v>
      </c>
      <c r="B26" s="16" t="s">
        <v>53</v>
      </c>
      <c r="C26" s="17">
        <f>F26+H26+J26+L26+N26+P26+R26+T26+V26+X26+Z26+AB26</f>
        <v>1007.8</v>
      </c>
      <c r="D26" s="17">
        <f>G26+I26+K26+M26+O26+Q26+S26+U26+W26+Y26+AA26+AC26</f>
        <v>1006.7</v>
      </c>
      <c r="E26" s="17">
        <f>D26/C26%</f>
        <v>99.89085135939672</v>
      </c>
      <c r="F26" s="18">
        <f>SUM(F28:F43)</f>
        <v>73.5</v>
      </c>
      <c r="G26" s="18">
        <f>SUM(G28:G43)</f>
        <v>25</v>
      </c>
      <c r="H26" s="18">
        <f t="shared" ref="H26:L26" si="9">SUM(H28:H43)</f>
        <v>67.599999999999994</v>
      </c>
      <c r="I26" s="18">
        <f t="shared" si="9"/>
        <v>23</v>
      </c>
      <c r="J26" s="18">
        <f>SUM(J28:J43)</f>
        <v>104.10000000000001</v>
      </c>
      <c r="K26" s="18">
        <f t="shared" si="9"/>
        <v>144.6</v>
      </c>
      <c r="L26" s="18">
        <f>SUM(L28:L43)</f>
        <v>131.9</v>
      </c>
      <c r="M26" s="18">
        <f t="shared" ref="M26:P26" si="10">SUM(M28:M43)</f>
        <v>97.7</v>
      </c>
      <c r="N26" s="18">
        <f t="shared" si="10"/>
        <v>84.9</v>
      </c>
      <c r="O26" s="18">
        <f t="shared" si="10"/>
        <v>48.8</v>
      </c>
      <c r="P26" s="18">
        <f t="shared" si="10"/>
        <v>100.80000000000001</v>
      </c>
      <c r="Q26" s="18">
        <f>SUM(Q28:Q43)</f>
        <v>100</v>
      </c>
      <c r="R26" s="18">
        <f>SUM(R28:R43)</f>
        <v>104.1</v>
      </c>
      <c r="S26" s="18">
        <f t="shared" ref="S26:AC26" si="11">SUM(S28:S43)</f>
        <v>80.800000000000011</v>
      </c>
      <c r="T26" s="18">
        <f t="shared" si="11"/>
        <v>46</v>
      </c>
      <c r="U26" s="18">
        <f t="shared" si="11"/>
        <v>72.3</v>
      </c>
      <c r="V26" s="18">
        <f t="shared" si="11"/>
        <v>72</v>
      </c>
      <c r="W26" s="18">
        <f t="shared" si="11"/>
        <v>61.100000000000009</v>
      </c>
      <c r="X26" s="18">
        <f t="shared" si="11"/>
        <v>56.899999999999991</v>
      </c>
      <c r="Y26" s="18">
        <f t="shared" si="11"/>
        <v>47.6</v>
      </c>
      <c r="Z26" s="18">
        <f t="shared" si="11"/>
        <v>101.69999999999999</v>
      </c>
      <c r="AA26" s="18">
        <f t="shared" si="11"/>
        <v>53.599999999999994</v>
      </c>
      <c r="AB26" s="18">
        <f t="shared" si="11"/>
        <v>64.300000000000011</v>
      </c>
      <c r="AC26" s="18">
        <f t="shared" si="11"/>
        <v>252.2</v>
      </c>
      <c r="AD26" s="19">
        <f>C26-D26</f>
        <v>1.0999999999999091</v>
      </c>
    </row>
    <row r="27" spans="1:30" s="28" customFormat="1" x14ac:dyDescent="0.25">
      <c r="A27" s="15"/>
      <c r="B27" s="16" t="s">
        <v>27</v>
      </c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</row>
    <row r="28" spans="1:30" s="28" customFormat="1" x14ac:dyDescent="0.25">
      <c r="A28" s="15" t="s">
        <v>54</v>
      </c>
      <c r="B28" s="16" t="s">
        <v>55</v>
      </c>
      <c r="C28" s="17">
        <f>F28+H28+J28+L28+N28+P28+R28+T28+V28+X28+Z28+AB28</f>
        <v>0</v>
      </c>
      <c r="D28" s="17">
        <f>G28+I28+K28+M28+O28+Q28+S28+U28+W28+Y28+AA28+AC28</f>
        <v>0</v>
      </c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9">
        <f>C28-D28</f>
        <v>0</v>
      </c>
    </row>
    <row r="29" spans="1:30" s="28" customFormat="1" x14ac:dyDescent="0.25">
      <c r="A29" s="15" t="s">
        <v>56</v>
      </c>
      <c r="B29" s="16" t="s">
        <v>57</v>
      </c>
      <c r="C29" s="17">
        <f>F29+H29+J29+L29+N29+P29+R29+T29+V29+X29+Z29+AB29</f>
        <v>176.70000000000002</v>
      </c>
      <c r="D29" s="17">
        <f>G29+I29+K29+M29+O29+Q29+S29+U29+W29+Y29+AA29+AC29</f>
        <v>176.29999999999998</v>
      </c>
      <c r="E29" s="17">
        <f>D29/C29%</f>
        <v>99.773627617430662</v>
      </c>
      <c r="F29" s="21">
        <v>13.8</v>
      </c>
      <c r="G29" s="21"/>
      <c r="H29" s="21">
        <v>13.9</v>
      </c>
      <c r="I29" s="21">
        <v>13.8</v>
      </c>
      <c r="J29" s="21">
        <v>13.9</v>
      </c>
      <c r="K29" s="21">
        <v>13.8</v>
      </c>
      <c r="L29" s="21">
        <v>13.8</v>
      </c>
      <c r="M29" s="21">
        <v>14.5</v>
      </c>
      <c r="N29" s="21">
        <v>13.8</v>
      </c>
      <c r="O29" s="21">
        <v>14.5</v>
      </c>
      <c r="P29" s="21">
        <v>13.9</v>
      </c>
      <c r="Q29" s="21">
        <v>14.5</v>
      </c>
      <c r="R29" s="21">
        <v>13.8</v>
      </c>
      <c r="S29" s="21">
        <v>18.100000000000001</v>
      </c>
      <c r="T29" s="21">
        <v>13.9</v>
      </c>
      <c r="U29" s="21">
        <v>14.5</v>
      </c>
      <c r="V29" s="21">
        <v>13.8</v>
      </c>
      <c r="W29" s="21">
        <v>14.5</v>
      </c>
      <c r="X29" s="21">
        <v>13.9</v>
      </c>
      <c r="Y29" s="21">
        <v>14.5</v>
      </c>
      <c r="Z29" s="21">
        <v>29.8</v>
      </c>
      <c r="AA29" s="21">
        <v>14.5</v>
      </c>
      <c r="AB29" s="21">
        <v>8.4</v>
      </c>
      <c r="AC29" s="21">
        <v>29.1</v>
      </c>
      <c r="AD29" s="19">
        <f>C29-D29</f>
        <v>0.40000000000003411</v>
      </c>
    </row>
    <row r="30" spans="1:30" s="28" customFormat="1" x14ac:dyDescent="0.25">
      <c r="A30" s="15" t="s">
        <v>58</v>
      </c>
      <c r="B30" s="16" t="s">
        <v>59</v>
      </c>
      <c r="C30" s="17">
        <f t="shared" si="1"/>
        <v>0</v>
      </c>
      <c r="D30" s="17">
        <f t="shared" si="1"/>
        <v>0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9">
        <f t="shared" ref="AD30:AD44" si="12">C30-D30</f>
        <v>0</v>
      </c>
    </row>
    <row r="31" spans="1:30" s="30" customFormat="1" ht="18.75" customHeight="1" x14ac:dyDescent="0.25">
      <c r="A31" s="15" t="s">
        <v>60</v>
      </c>
      <c r="B31" s="16" t="s">
        <v>61</v>
      </c>
      <c r="C31" s="17">
        <f t="shared" si="1"/>
        <v>101.29999999999998</v>
      </c>
      <c r="D31" s="17">
        <f t="shared" si="1"/>
        <v>101.3</v>
      </c>
      <c r="E31" s="17">
        <f t="shared" ref="E31:E44" si="13">D31/C31%</f>
        <v>100</v>
      </c>
      <c r="F31" s="21">
        <v>12.1</v>
      </c>
      <c r="G31" s="21"/>
      <c r="H31" s="21">
        <v>6.1</v>
      </c>
      <c r="I31" s="21">
        <v>6.2</v>
      </c>
      <c r="J31" s="21">
        <v>9.1</v>
      </c>
      <c r="K31" s="21">
        <v>6.2</v>
      </c>
      <c r="L31" s="21">
        <v>11.7</v>
      </c>
      <c r="M31" s="21">
        <v>6.2</v>
      </c>
      <c r="N31" s="21">
        <v>10.1</v>
      </c>
      <c r="O31" s="21">
        <v>6.2</v>
      </c>
      <c r="P31" s="21">
        <v>5.0999999999999996</v>
      </c>
      <c r="Q31" s="21">
        <v>6.2</v>
      </c>
      <c r="R31" s="21">
        <v>9.6999999999999993</v>
      </c>
      <c r="S31" s="21">
        <v>33.200000000000003</v>
      </c>
      <c r="T31" s="21">
        <v>6.6</v>
      </c>
      <c r="U31" s="21">
        <v>6.5</v>
      </c>
      <c r="V31" s="21">
        <v>11.6</v>
      </c>
      <c r="W31" s="29">
        <f>11.7-0.3</f>
        <v>11.399999999999999</v>
      </c>
      <c r="X31" s="21">
        <v>6.6</v>
      </c>
      <c r="Y31" s="21">
        <v>6.5</v>
      </c>
      <c r="Z31" s="21">
        <v>11.6</v>
      </c>
      <c r="AA31" s="21">
        <v>6.5</v>
      </c>
      <c r="AB31" s="21">
        <v>1</v>
      </c>
      <c r="AC31" s="21">
        <v>6.2</v>
      </c>
      <c r="AD31" s="19">
        <f t="shared" si="12"/>
        <v>0</v>
      </c>
    </row>
    <row r="32" spans="1:30" s="28" customFormat="1" ht="20.25" customHeight="1" x14ac:dyDescent="0.25">
      <c r="A32" s="15" t="s">
        <v>62</v>
      </c>
      <c r="B32" s="16" t="s">
        <v>63</v>
      </c>
      <c r="C32" s="17">
        <f t="shared" si="1"/>
        <v>195.7</v>
      </c>
      <c r="D32" s="17">
        <f t="shared" si="1"/>
        <v>195.6</v>
      </c>
      <c r="E32" s="17">
        <f t="shared" si="13"/>
        <v>99.948901379662757</v>
      </c>
      <c r="F32" s="21">
        <v>16.100000000000001</v>
      </c>
      <c r="G32" s="21"/>
      <c r="H32" s="21">
        <v>34</v>
      </c>
      <c r="I32" s="21"/>
      <c r="J32" s="21">
        <v>27.2</v>
      </c>
      <c r="K32" s="21">
        <v>67.7</v>
      </c>
      <c r="L32" s="21">
        <v>24.3</v>
      </c>
      <c r="M32" s="21">
        <v>25.2</v>
      </c>
      <c r="N32" s="21">
        <v>14.6</v>
      </c>
      <c r="O32" s="21">
        <v>6.3</v>
      </c>
      <c r="P32" s="21">
        <v>17.100000000000001</v>
      </c>
      <c r="Q32" s="21">
        <v>4.3</v>
      </c>
      <c r="R32" s="21">
        <v>11</v>
      </c>
      <c r="S32" s="21">
        <v>3.3</v>
      </c>
      <c r="T32" s="21">
        <v>1.1000000000000001</v>
      </c>
      <c r="U32" s="21">
        <v>4.3</v>
      </c>
      <c r="V32" s="21">
        <v>13.3</v>
      </c>
      <c r="W32" s="21">
        <v>11.1</v>
      </c>
      <c r="X32" s="21">
        <v>19.399999999999999</v>
      </c>
      <c r="Y32" s="21">
        <v>5.9</v>
      </c>
      <c r="Z32" s="21">
        <v>8.9</v>
      </c>
      <c r="AA32" s="21">
        <v>2.4</v>
      </c>
      <c r="AB32" s="21">
        <v>8.6999999999999993</v>
      </c>
      <c r="AC32" s="21">
        <v>65.099999999999994</v>
      </c>
      <c r="AD32" s="19">
        <f t="shared" si="12"/>
        <v>9.9999999999994316E-2</v>
      </c>
    </row>
    <row r="33" spans="1:30" s="28" customFormat="1" ht="22.5" customHeight="1" x14ac:dyDescent="0.25">
      <c r="A33" s="15" t="s">
        <v>64</v>
      </c>
      <c r="B33" s="16" t="s">
        <v>65</v>
      </c>
      <c r="C33" s="17">
        <f t="shared" si="1"/>
        <v>19.899999999999999</v>
      </c>
      <c r="D33" s="17">
        <f t="shared" si="1"/>
        <v>19.899999999999999</v>
      </c>
      <c r="E33" s="17">
        <f t="shared" si="13"/>
        <v>100</v>
      </c>
      <c r="F33" s="21"/>
      <c r="G33" s="21"/>
      <c r="H33" s="21">
        <v>7</v>
      </c>
      <c r="I33" s="21"/>
      <c r="J33" s="21"/>
      <c r="K33" s="21">
        <v>5.8</v>
      </c>
      <c r="L33" s="21">
        <v>7</v>
      </c>
      <c r="M33" s="21">
        <v>1</v>
      </c>
      <c r="N33" s="21"/>
      <c r="O33" s="21"/>
      <c r="P33" s="31"/>
      <c r="Q33" s="31"/>
      <c r="R33" s="21">
        <v>4</v>
      </c>
      <c r="S33" s="31"/>
      <c r="T33" s="31"/>
      <c r="U33" s="21">
        <v>1</v>
      </c>
      <c r="V33" s="21">
        <v>1.9</v>
      </c>
      <c r="W33" s="21">
        <v>6.7</v>
      </c>
      <c r="X33" s="21"/>
      <c r="Y33" s="21"/>
      <c r="Z33" s="21"/>
      <c r="AA33" s="21"/>
      <c r="AB33" s="21"/>
      <c r="AC33" s="21">
        <v>5.4</v>
      </c>
      <c r="AD33" s="19">
        <f t="shared" si="12"/>
        <v>0</v>
      </c>
    </row>
    <row r="34" spans="1:30" s="28" customFormat="1" ht="19.5" customHeight="1" x14ac:dyDescent="0.25">
      <c r="A34" s="15" t="s">
        <v>66</v>
      </c>
      <c r="B34" s="16" t="s">
        <v>67</v>
      </c>
      <c r="C34" s="17">
        <f t="shared" si="1"/>
        <v>0</v>
      </c>
      <c r="D34" s="17">
        <f t="shared" si="1"/>
        <v>0</v>
      </c>
      <c r="E34" s="1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>
        <f t="shared" si="12"/>
        <v>0</v>
      </c>
    </row>
    <row r="35" spans="1:30" s="28" customFormat="1" ht="19.5" customHeight="1" x14ac:dyDescent="0.25">
      <c r="A35" s="15" t="s">
        <v>68</v>
      </c>
      <c r="B35" s="16" t="s">
        <v>69</v>
      </c>
      <c r="C35" s="17">
        <f t="shared" si="1"/>
        <v>59.7</v>
      </c>
      <c r="D35" s="17">
        <f t="shared" si="1"/>
        <v>59.7</v>
      </c>
      <c r="E35" s="17">
        <f t="shared" si="13"/>
        <v>100.00000000000001</v>
      </c>
      <c r="F35" s="21"/>
      <c r="G35" s="21"/>
      <c r="H35" s="21"/>
      <c r="I35" s="21"/>
      <c r="J35" s="21"/>
      <c r="K35" s="21"/>
      <c r="L35" s="21"/>
      <c r="M35" s="21"/>
      <c r="N35" s="21">
        <v>20</v>
      </c>
      <c r="O35" s="21">
        <v>9.3000000000000007</v>
      </c>
      <c r="P35" s="21">
        <v>10.8</v>
      </c>
      <c r="Q35" s="21">
        <v>10.6</v>
      </c>
      <c r="R35" s="21">
        <v>13.6</v>
      </c>
      <c r="S35" s="21">
        <v>7.1</v>
      </c>
      <c r="T35" s="21">
        <v>0.5</v>
      </c>
      <c r="U35" s="21">
        <v>15</v>
      </c>
      <c r="V35" s="21">
        <v>14.8</v>
      </c>
      <c r="W35" s="21">
        <v>7.1</v>
      </c>
      <c r="X35" s="21"/>
      <c r="Y35" s="21">
        <v>10.6</v>
      </c>
      <c r="Z35" s="21"/>
      <c r="AA35" s="21"/>
      <c r="AB35" s="21"/>
      <c r="AC35" s="21"/>
      <c r="AD35" s="19">
        <f t="shared" si="12"/>
        <v>0</v>
      </c>
    </row>
    <row r="36" spans="1:30" s="28" customFormat="1" ht="19.5" customHeight="1" x14ac:dyDescent="0.25">
      <c r="A36" s="15" t="s">
        <v>70</v>
      </c>
      <c r="B36" s="16" t="s">
        <v>71</v>
      </c>
      <c r="C36" s="17">
        <f t="shared" si="1"/>
        <v>49</v>
      </c>
      <c r="D36" s="17">
        <f t="shared" si="1"/>
        <v>49</v>
      </c>
      <c r="E36" s="17">
        <f t="shared" si="13"/>
        <v>100</v>
      </c>
      <c r="F36" s="21">
        <v>25</v>
      </c>
      <c r="G36" s="21">
        <v>25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1"/>
      <c r="T36" s="31"/>
      <c r="U36" s="21"/>
      <c r="V36" s="21"/>
      <c r="W36" s="21"/>
      <c r="X36" s="21"/>
      <c r="Y36" s="21"/>
      <c r="Z36" s="21"/>
      <c r="AA36" s="21"/>
      <c r="AB36" s="21">
        <v>24</v>
      </c>
      <c r="AC36" s="21">
        <v>24</v>
      </c>
      <c r="AD36" s="19">
        <f t="shared" si="12"/>
        <v>0</v>
      </c>
    </row>
    <row r="37" spans="1:30" s="28" customFormat="1" ht="19.5" customHeight="1" x14ac:dyDescent="0.25">
      <c r="A37" s="15" t="s">
        <v>72</v>
      </c>
      <c r="B37" s="16" t="s">
        <v>73</v>
      </c>
      <c r="C37" s="17">
        <f t="shared" si="1"/>
        <v>0</v>
      </c>
      <c r="D37" s="17">
        <f t="shared" si="1"/>
        <v>0</v>
      </c>
      <c r="E37" s="1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19">
        <f t="shared" si="12"/>
        <v>0</v>
      </c>
    </row>
    <row r="38" spans="1:30" s="28" customFormat="1" ht="19.5" customHeight="1" x14ac:dyDescent="0.25">
      <c r="A38" s="15" t="s">
        <v>74</v>
      </c>
      <c r="B38" s="16" t="s">
        <v>75</v>
      </c>
      <c r="C38" s="17">
        <f t="shared" si="1"/>
        <v>147</v>
      </c>
      <c r="D38" s="17">
        <f t="shared" si="1"/>
        <v>147</v>
      </c>
      <c r="E38" s="17">
        <f t="shared" si="13"/>
        <v>100</v>
      </c>
      <c r="F38" s="21"/>
      <c r="G38" s="21"/>
      <c r="H38" s="21"/>
      <c r="I38" s="21"/>
      <c r="J38" s="21">
        <v>49</v>
      </c>
      <c r="K38" s="21">
        <v>49</v>
      </c>
      <c r="L38" s="21">
        <v>49</v>
      </c>
      <c r="M38" s="21">
        <v>49</v>
      </c>
      <c r="N38" s="21"/>
      <c r="O38" s="21"/>
      <c r="P38" s="21">
        <v>49</v>
      </c>
      <c r="Q38" s="21">
        <v>49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19">
        <f t="shared" si="12"/>
        <v>0</v>
      </c>
    </row>
    <row r="39" spans="1:30" s="28" customFormat="1" ht="19.5" customHeight="1" x14ac:dyDescent="0.25">
      <c r="A39" s="15" t="s">
        <v>76</v>
      </c>
      <c r="B39" s="16" t="s">
        <v>77</v>
      </c>
      <c r="C39" s="17">
        <f t="shared" si="1"/>
        <v>5.9</v>
      </c>
      <c r="D39" s="17">
        <f t="shared" si="1"/>
        <v>5.9</v>
      </c>
      <c r="E39" s="17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v>5.9</v>
      </c>
      <c r="S39" s="21"/>
      <c r="T39" s="21"/>
      <c r="U39" s="21"/>
      <c r="V39" s="21"/>
      <c r="W39" s="21"/>
      <c r="X39" s="21"/>
      <c r="Y39" s="21"/>
      <c r="Z39" s="21"/>
      <c r="AA39" s="21">
        <v>5.9</v>
      </c>
      <c r="AB39" s="21"/>
      <c r="AC39" s="21"/>
      <c r="AD39" s="19">
        <f t="shared" si="12"/>
        <v>0</v>
      </c>
    </row>
    <row r="40" spans="1:30" s="28" customFormat="1" ht="19.5" customHeight="1" x14ac:dyDescent="0.25">
      <c r="A40" s="15" t="s">
        <v>78</v>
      </c>
      <c r="B40" s="16" t="s">
        <v>79</v>
      </c>
      <c r="C40" s="17">
        <f t="shared" si="1"/>
        <v>27.6</v>
      </c>
      <c r="D40" s="17">
        <f t="shared" si="1"/>
        <v>27.6</v>
      </c>
      <c r="E40" s="17"/>
      <c r="F40" s="21"/>
      <c r="G40" s="21"/>
      <c r="H40" s="21"/>
      <c r="I40" s="21"/>
      <c r="J40" s="21"/>
      <c r="K40" s="21"/>
      <c r="L40" s="21"/>
      <c r="M40" s="21"/>
      <c r="N40" s="21">
        <v>7.8</v>
      </c>
      <c r="O40" s="21"/>
      <c r="P40" s="22"/>
      <c r="Q40" s="21"/>
      <c r="R40" s="21">
        <v>5.2</v>
      </c>
      <c r="S40" s="21">
        <v>12.4</v>
      </c>
      <c r="T40" s="21"/>
      <c r="U40" s="21"/>
      <c r="V40" s="21"/>
      <c r="W40" s="21"/>
      <c r="X40" s="21">
        <v>6.3</v>
      </c>
      <c r="Y40" s="21"/>
      <c r="Z40" s="21">
        <v>8.3000000000000007</v>
      </c>
      <c r="AA40" s="21"/>
      <c r="AB40" s="21"/>
      <c r="AC40" s="21">
        <v>15.2</v>
      </c>
      <c r="AD40" s="19">
        <f>C40-D40</f>
        <v>0</v>
      </c>
    </row>
    <row r="41" spans="1:30" s="28" customFormat="1" ht="19.5" customHeight="1" x14ac:dyDescent="0.25">
      <c r="A41" s="15" t="s">
        <v>80</v>
      </c>
      <c r="B41" s="16" t="s">
        <v>81</v>
      </c>
      <c r="C41" s="17">
        <f t="shared" si="1"/>
        <v>58.2</v>
      </c>
      <c r="D41" s="17">
        <f t="shared" si="1"/>
        <v>58.2</v>
      </c>
      <c r="E41" s="17"/>
      <c r="F41" s="21"/>
      <c r="G41" s="21"/>
      <c r="H41" s="21"/>
      <c r="I41" s="21"/>
      <c r="J41" s="21"/>
      <c r="K41" s="21"/>
      <c r="L41" s="21">
        <v>17.100000000000001</v>
      </c>
      <c r="M41" s="21"/>
      <c r="N41" s="21">
        <v>8.6999999999999993</v>
      </c>
      <c r="O41" s="21">
        <v>11.4</v>
      </c>
      <c r="P41" s="22"/>
      <c r="Q41" s="21">
        <v>14.4</v>
      </c>
      <c r="R41" s="21"/>
      <c r="S41" s="21"/>
      <c r="T41" s="21"/>
      <c r="U41" s="21"/>
      <c r="V41" s="21">
        <v>11</v>
      </c>
      <c r="W41" s="21"/>
      <c r="X41" s="21"/>
      <c r="Y41" s="21">
        <v>5.5</v>
      </c>
      <c r="Z41" s="21">
        <v>17.2</v>
      </c>
      <c r="AA41" s="21"/>
      <c r="AB41" s="21">
        <v>4.2</v>
      </c>
      <c r="AC41" s="21">
        <v>26.9</v>
      </c>
      <c r="AD41" s="19">
        <f t="shared" ref="AD41:AD43" si="14">C41-D41</f>
        <v>0</v>
      </c>
    </row>
    <row r="42" spans="1:30" s="28" customFormat="1" ht="19.5" customHeight="1" x14ac:dyDescent="0.25">
      <c r="A42" s="15" t="s">
        <v>82</v>
      </c>
      <c r="B42" s="16" t="s">
        <v>83</v>
      </c>
      <c r="C42" s="17">
        <f t="shared" si="1"/>
        <v>154.5</v>
      </c>
      <c r="D42" s="17">
        <f t="shared" si="1"/>
        <v>153.89999999999998</v>
      </c>
      <c r="E42" s="17">
        <f t="shared" si="13"/>
        <v>99.611650485436883</v>
      </c>
      <c r="F42" s="21">
        <v>5</v>
      </c>
      <c r="G42" s="21"/>
      <c r="H42" s="21">
        <v>5.0999999999999996</v>
      </c>
      <c r="I42" s="21">
        <v>3</v>
      </c>
      <c r="J42" s="21">
        <v>3.4</v>
      </c>
      <c r="K42" s="21"/>
      <c r="L42" s="21">
        <v>7.5</v>
      </c>
      <c r="M42" s="21">
        <v>0.8</v>
      </c>
      <c r="N42" s="21">
        <v>8.4</v>
      </c>
      <c r="O42" s="21"/>
      <c r="P42" s="22">
        <v>3.4</v>
      </c>
      <c r="Q42" s="21"/>
      <c r="R42" s="21">
        <f>9.4+30</f>
        <v>39.4</v>
      </c>
      <c r="S42" s="21">
        <f>2.1+3.6</f>
        <v>5.7</v>
      </c>
      <c r="T42" s="21">
        <v>22.4</v>
      </c>
      <c r="U42" s="21">
        <v>30</v>
      </c>
      <c r="V42" s="21">
        <v>5.3</v>
      </c>
      <c r="W42" s="29">
        <f>9+0.3</f>
        <v>9.3000000000000007</v>
      </c>
      <c r="X42" s="21">
        <v>10.7</v>
      </c>
      <c r="Y42" s="21">
        <v>3.5</v>
      </c>
      <c r="Z42" s="21">
        <v>25.9</v>
      </c>
      <c r="AA42" s="21">
        <v>23.3</v>
      </c>
      <c r="AB42" s="21">
        <v>18</v>
      </c>
      <c r="AC42" s="21">
        <f>60.3+18</f>
        <v>78.3</v>
      </c>
      <c r="AD42" s="19">
        <f t="shared" si="14"/>
        <v>0.60000000000002274</v>
      </c>
    </row>
    <row r="43" spans="1:30" s="28" customFormat="1" ht="37.5" x14ac:dyDescent="0.25">
      <c r="A43" s="15" t="s">
        <v>84</v>
      </c>
      <c r="B43" s="16" t="s">
        <v>85</v>
      </c>
      <c r="C43" s="17">
        <f t="shared" si="1"/>
        <v>12.3</v>
      </c>
      <c r="D43" s="17">
        <f t="shared" si="1"/>
        <v>12.299999999999999</v>
      </c>
      <c r="E43" s="17">
        <f>D43/C43%</f>
        <v>99.999999999999986</v>
      </c>
      <c r="F43" s="21">
        <v>1.5</v>
      </c>
      <c r="G43" s="21"/>
      <c r="H43" s="21">
        <v>1.5</v>
      </c>
      <c r="I43" s="21"/>
      <c r="J43" s="21">
        <v>1.5</v>
      </c>
      <c r="K43" s="21">
        <v>2.1</v>
      </c>
      <c r="L43" s="21">
        <v>1.5</v>
      </c>
      <c r="M43" s="21">
        <v>1</v>
      </c>
      <c r="N43" s="21">
        <v>1.5</v>
      </c>
      <c r="O43" s="21">
        <v>1.1000000000000001</v>
      </c>
      <c r="P43" s="22">
        <v>1.5</v>
      </c>
      <c r="Q43" s="21">
        <v>1</v>
      </c>
      <c r="R43" s="21">
        <v>1.5</v>
      </c>
      <c r="S43" s="21">
        <v>1</v>
      </c>
      <c r="T43" s="21">
        <v>1.5</v>
      </c>
      <c r="U43" s="21">
        <v>1</v>
      </c>
      <c r="V43" s="21">
        <v>0.3</v>
      </c>
      <c r="W43" s="21">
        <v>1</v>
      </c>
      <c r="X43" s="21"/>
      <c r="Y43" s="21">
        <v>1.1000000000000001</v>
      </c>
      <c r="Z43" s="21"/>
      <c r="AA43" s="21">
        <v>1</v>
      </c>
      <c r="AB43" s="21"/>
      <c r="AC43" s="21">
        <v>2</v>
      </c>
      <c r="AD43" s="19">
        <f t="shared" si="14"/>
        <v>0</v>
      </c>
    </row>
    <row r="44" spans="1:30" s="28" customFormat="1" x14ac:dyDescent="0.25">
      <c r="A44" s="15" t="s">
        <v>86</v>
      </c>
      <c r="B44" s="16" t="s">
        <v>87</v>
      </c>
      <c r="C44" s="17">
        <f t="shared" si="1"/>
        <v>5198.5</v>
      </c>
      <c r="D44" s="17">
        <f t="shared" si="1"/>
        <v>5192.5999999999995</v>
      </c>
      <c r="E44" s="17">
        <f t="shared" si="13"/>
        <v>99.886505722804642</v>
      </c>
      <c r="F44" s="18">
        <f>SUM(F45:F47)</f>
        <v>393</v>
      </c>
      <c r="G44" s="18">
        <f t="shared" ref="G44:AC44" si="15">SUM(G45:G47)</f>
        <v>384</v>
      </c>
      <c r="H44" s="18">
        <f t="shared" si="15"/>
        <v>393</v>
      </c>
      <c r="I44" s="18">
        <f t="shared" si="15"/>
        <v>383.7</v>
      </c>
      <c r="J44" s="18">
        <f t="shared" si="15"/>
        <v>395.3</v>
      </c>
      <c r="K44" s="18">
        <f t="shared" si="15"/>
        <v>403.59999999999997</v>
      </c>
      <c r="L44" s="18">
        <f t="shared" si="15"/>
        <v>365.6</v>
      </c>
      <c r="M44" s="18">
        <f>SUM(M45:M47)</f>
        <v>375.3</v>
      </c>
      <c r="N44" s="18">
        <f t="shared" si="15"/>
        <v>465.6</v>
      </c>
      <c r="O44" s="18">
        <f t="shared" si="15"/>
        <v>465</v>
      </c>
      <c r="P44" s="18">
        <f t="shared" si="15"/>
        <v>717.2</v>
      </c>
      <c r="Q44" s="18">
        <f t="shared" si="15"/>
        <v>713.6</v>
      </c>
      <c r="R44" s="18">
        <f t="shared" si="15"/>
        <v>346.2</v>
      </c>
      <c r="S44" s="18">
        <f t="shared" si="15"/>
        <v>264</v>
      </c>
      <c r="T44" s="18">
        <f t="shared" si="15"/>
        <v>291.10000000000002</v>
      </c>
      <c r="U44" s="18">
        <f t="shared" si="15"/>
        <v>350</v>
      </c>
      <c r="V44" s="18">
        <f t="shared" si="15"/>
        <v>286</v>
      </c>
      <c r="W44" s="18">
        <f t="shared" si="15"/>
        <v>300</v>
      </c>
      <c r="X44" s="18">
        <f t="shared" si="15"/>
        <v>564.9</v>
      </c>
      <c r="Y44" s="18">
        <f t="shared" si="15"/>
        <v>577</v>
      </c>
      <c r="Z44" s="18">
        <f t="shared" si="15"/>
        <v>792.8</v>
      </c>
      <c r="AA44" s="18">
        <f t="shared" si="15"/>
        <v>530</v>
      </c>
      <c r="AB44" s="18">
        <f t="shared" si="15"/>
        <v>187.8</v>
      </c>
      <c r="AC44" s="18">
        <f t="shared" si="15"/>
        <v>446.4</v>
      </c>
      <c r="AD44" s="19">
        <f t="shared" si="12"/>
        <v>5.9000000000005457</v>
      </c>
    </row>
    <row r="45" spans="1:30" s="28" customFormat="1" x14ac:dyDescent="0.25">
      <c r="A45" s="15"/>
      <c r="B45" s="16" t="s">
        <v>18</v>
      </c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</row>
    <row r="46" spans="1:30" s="28" customFormat="1" x14ac:dyDescent="0.25">
      <c r="A46" s="15" t="s">
        <v>88</v>
      </c>
      <c r="B46" s="16" t="s">
        <v>89</v>
      </c>
      <c r="C46" s="17">
        <f t="shared" si="1"/>
        <v>5198.5</v>
      </c>
      <c r="D46" s="17">
        <f t="shared" si="1"/>
        <v>5192.5999999999995</v>
      </c>
      <c r="E46" s="17">
        <f>D46/C46%</f>
        <v>99.886505722804642</v>
      </c>
      <c r="F46" s="21">
        <f>378.4+14.6</f>
        <v>393</v>
      </c>
      <c r="G46" s="21">
        <f>370+14</f>
        <v>384</v>
      </c>
      <c r="H46" s="21">
        <f>378.4+14.6</f>
        <v>393</v>
      </c>
      <c r="I46" s="21">
        <f>375+8.7</f>
        <v>383.7</v>
      </c>
      <c r="J46" s="21">
        <v>395.3</v>
      </c>
      <c r="K46" s="21">
        <f>378.4+21+2.5+1.7</f>
        <v>403.59999999999997</v>
      </c>
      <c r="L46" s="21">
        <f>351+14.6</f>
        <v>365.6</v>
      </c>
      <c r="M46" s="21">
        <f>361+14.3</f>
        <v>375.3</v>
      </c>
      <c r="N46" s="21">
        <f>451+14.6</f>
        <v>465.6</v>
      </c>
      <c r="O46" s="21">
        <f>450+15</f>
        <v>465</v>
      </c>
      <c r="P46" s="21">
        <v>717.2</v>
      </c>
      <c r="Q46" s="21">
        <f>700+13.6</f>
        <v>713.6</v>
      </c>
      <c r="R46" s="21">
        <v>346.2</v>
      </c>
      <c r="S46" s="21">
        <f>250+14</f>
        <v>264</v>
      </c>
      <c r="T46" s="21">
        <f>276.5+14.6</f>
        <v>291.10000000000002</v>
      </c>
      <c r="U46" s="21">
        <v>350</v>
      </c>
      <c r="V46" s="21">
        <v>286</v>
      </c>
      <c r="W46" s="21">
        <f>270+30</f>
        <v>300</v>
      </c>
      <c r="X46" s="21">
        <v>564.9</v>
      </c>
      <c r="Y46" s="21">
        <f>550+27</f>
        <v>577</v>
      </c>
      <c r="Z46" s="21">
        <v>792.8</v>
      </c>
      <c r="AA46" s="21">
        <f>500+30</f>
        <v>530</v>
      </c>
      <c r="AB46" s="21">
        <v>187.8</v>
      </c>
      <c r="AC46" s="21">
        <f>310.9+135.5</f>
        <v>446.4</v>
      </c>
      <c r="AD46" s="19">
        <f>C46-D46</f>
        <v>5.9000000000005457</v>
      </c>
    </row>
    <row r="47" spans="1:30" s="28" customFormat="1" ht="19.5" hidden="1" customHeight="1" x14ac:dyDescent="0.25">
      <c r="A47" s="15" t="s">
        <v>90</v>
      </c>
      <c r="B47" s="16" t="s">
        <v>91</v>
      </c>
      <c r="C47" s="17">
        <f t="shared" si="1"/>
        <v>0</v>
      </c>
      <c r="D47" s="17">
        <f t="shared" si="1"/>
        <v>0</v>
      </c>
      <c r="E47" s="1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17">
        <f>C47-D47</f>
        <v>0</v>
      </c>
    </row>
    <row r="48" spans="1:30" s="28" customFormat="1" ht="18" customHeight="1" x14ac:dyDescent="0.25">
      <c r="A48" s="11" t="s">
        <v>92</v>
      </c>
      <c r="B48" s="12" t="s">
        <v>93</v>
      </c>
      <c r="C48" s="13">
        <f>F48+H48+J48+L48+N48+P48+R48+T48+V48+X48+Z48+AB48</f>
        <v>369.6</v>
      </c>
      <c r="D48" s="13">
        <f>G48+I48+K48+M48+O48+Q48+S48+U48+W48+Y48+AA48+AC48</f>
        <v>368.40000000000003</v>
      </c>
      <c r="E48" s="13">
        <f>D48/C48%</f>
        <v>99.675324675324674</v>
      </c>
      <c r="F48" s="14">
        <f t="shared" ref="F48:AC48" si="16">SUM(F50:F59)</f>
        <v>15.4</v>
      </c>
      <c r="G48" s="14">
        <f t="shared" si="16"/>
        <v>0</v>
      </c>
      <c r="H48" s="14">
        <f t="shared" si="16"/>
        <v>37.9</v>
      </c>
      <c r="I48" s="14">
        <f t="shared" si="16"/>
        <v>0</v>
      </c>
      <c r="J48" s="14">
        <f t="shared" si="16"/>
        <v>121.2</v>
      </c>
      <c r="K48" s="14">
        <f t="shared" si="16"/>
        <v>0</v>
      </c>
      <c r="L48" s="14">
        <f t="shared" si="16"/>
        <v>102.3</v>
      </c>
      <c r="M48" s="14">
        <f t="shared" si="16"/>
        <v>0</v>
      </c>
      <c r="N48" s="14">
        <f t="shared" si="16"/>
        <v>0</v>
      </c>
      <c r="O48" s="14">
        <f t="shared" si="16"/>
        <v>281.8</v>
      </c>
      <c r="P48" s="14">
        <f t="shared" si="16"/>
        <v>49</v>
      </c>
      <c r="Q48" s="14">
        <f t="shared" si="16"/>
        <v>48.8</v>
      </c>
      <c r="R48" s="14">
        <f t="shared" si="16"/>
        <v>0</v>
      </c>
      <c r="S48" s="14">
        <f t="shared" si="16"/>
        <v>0</v>
      </c>
      <c r="T48" s="14">
        <f t="shared" si="16"/>
        <v>5</v>
      </c>
      <c r="U48" s="14">
        <f t="shared" si="16"/>
        <v>0</v>
      </c>
      <c r="V48" s="14">
        <f t="shared" si="16"/>
        <v>0</v>
      </c>
      <c r="W48" s="14">
        <f t="shared" si="16"/>
        <v>0</v>
      </c>
      <c r="X48" s="14">
        <f t="shared" si="16"/>
        <v>3.8</v>
      </c>
      <c r="Y48" s="14">
        <f t="shared" si="16"/>
        <v>3.8</v>
      </c>
      <c r="Z48" s="14">
        <f t="shared" si="16"/>
        <v>35</v>
      </c>
      <c r="AA48" s="14">
        <f t="shared" si="16"/>
        <v>0</v>
      </c>
      <c r="AB48" s="14">
        <f t="shared" si="16"/>
        <v>0</v>
      </c>
      <c r="AC48" s="14">
        <f t="shared" si="16"/>
        <v>34</v>
      </c>
      <c r="AD48" s="13">
        <f>C48-D48</f>
        <v>1.1999999999999886</v>
      </c>
    </row>
    <row r="49" spans="1:30" s="28" customFormat="1" x14ac:dyDescent="0.25">
      <c r="A49" s="15"/>
      <c r="B49" s="16" t="s">
        <v>18</v>
      </c>
      <c r="C49" s="17"/>
      <c r="D49" s="17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28" customFormat="1" x14ac:dyDescent="0.3">
      <c r="A50" s="15" t="s">
        <v>94</v>
      </c>
      <c r="B50" s="32" t="s">
        <v>95</v>
      </c>
      <c r="C50" s="17">
        <f>F50+H50+J50+L50+N50+P50+R50+T50+V50+X50+Z50+AB50</f>
        <v>112.3</v>
      </c>
      <c r="D50" s="17">
        <f>G50+I50+K50+M50+O50+Q50+S50+U50+W50+Y50+AA50+AC50</f>
        <v>112.3</v>
      </c>
      <c r="E50" s="17">
        <f>D50/C50%</f>
        <v>100</v>
      </c>
      <c r="F50" s="21"/>
      <c r="G50" s="21"/>
      <c r="H50" s="21"/>
      <c r="I50" s="21"/>
      <c r="J50" s="21"/>
      <c r="K50" s="21"/>
      <c r="L50" s="21">
        <v>102.3</v>
      </c>
      <c r="M50" s="21"/>
      <c r="N50" s="21"/>
      <c r="O50" s="21">
        <v>107.3</v>
      </c>
      <c r="P50" s="21"/>
      <c r="Q50" s="21"/>
      <c r="R50" s="21"/>
      <c r="S50" s="21"/>
      <c r="T50" s="21">
        <v>5</v>
      </c>
      <c r="U50" s="21"/>
      <c r="V50" s="21"/>
      <c r="W50" s="21"/>
      <c r="X50" s="21"/>
      <c r="Y50" s="21"/>
      <c r="Z50" s="21">
        <v>5</v>
      </c>
      <c r="AA50" s="21"/>
      <c r="AB50" s="21"/>
      <c r="AC50" s="21">
        <v>5</v>
      </c>
      <c r="AD50" s="18">
        <f t="shared" ref="AD50:AD59" si="17">C50-D50</f>
        <v>0</v>
      </c>
    </row>
    <row r="51" spans="1:30" s="28" customFormat="1" x14ac:dyDescent="0.3">
      <c r="A51" s="15" t="s">
        <v>96</v>
      </c>
      <c r="B51" s="32" t="s">
        <v>97</v>
      </c>
      <c r="C51" s="17">
        <f t="shared" si="1"/>
        <v>174.5</v>
      </c>
      <c r="D51" s="17">
        <f t="shared" si="1"/>
        <v>174.5</v>
      </c>
      <c r="E51" s="17">
        <f>D51/C51%</f>
        <v>100</v>
      </c>
      <c r="F51" s="21">
        <v>15.4</v>
      </c>
      <c r="G51" s="21"/>
      <c r="H51" s="21">
        <v>37.9</v>
      </c>
      <c r="I51" s="21"/>
      <c r="J51" s="21">
        <v>121.2</v>
      </c>
      <c r="K51" s="21"/>
      <c r="L51" s="21"/>
      <c r="M51" s="21"/>
      <c r="N51" s="21"/>
      <c r="O51" s="21">
        <v>174.5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18">
        <f t="shared" si="17"/>
        <v>0</v>
      </c>
    </row>
    <row r="52" spans="1:30" s="28" customFormat="1" x14ac:dyDescent="0.3">
      <c r="A52" s="15" t="s">
        <v>98</v>
      </c>
      <c r="B52" s="32" t="s">
        <v>99</v>
      </c>
      <c r="C52" s="17">
        <f t="shared" si="1"/>
        <v>52.8</v>
      </c>
      <c r="D52" s="17">
        <f t="shared" si="1"/>
        <v>52.599999999999994</v>
      </c>
      <c r="E52" s="17">
        <f>D52/C52%</f>
        <v>99.62121212121211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49</v>
      </c>
      <c r="Q52" s="21">
        <v>48.8</v>
      </c>
      <c r="R52" s="21"/>
      <c r="S52" s="21"/>
      <c r="T52" s="21"/>
      <c r="U52" s="21"/>
      <c r="V52" s="21"/>
      <c r="W52" s="21"/>
      <c r="X52" s="21">
        <v>3.8</v>
      </c>
      <c r="Y52" s="21">
        <v>3.8</v>
      </c>
      <c r="Z52" s="21"/>
      <c r="AA52" s="21"/>
      <c r="AB52" s="21"/>
      <c r="AC52" s="21"/>
      <c r="AD52" s="18">
        <f t="shared" si="17"/>
        <v>0.20000000000000284</v>
      </c>
    </row>
    <row r="53" spans="1:30" s="28" customFormat="1" ht="19.5" customHeight="1" x14ac:dyDescent="0.3">
      <c r="A53" s="15" t="s">
        <v>100</v>
      </c>
      <c r="B53" s="32" t="s">
        <v>101</v>
      </c>
      <c r="C53" s="17">
        <f t="shared" si="1"/>
        <v>30</v>
      </c>
      <c r="D53" s="17">
        <f t="shared" si="1"/>
        <v>29</v>
      </c>
      <c r="E53" s="17">
        <f>D53/C53%</f>
        <v>96.666666666666671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v>30</v>
      </c>
      <c r="AA53" s="21"/>
      <c r="AB53" s="21"/>
      <c r="AC53" s="21">
        <v>29</v>
      </c>
      <c r="AD53" s="18">
        <f t="shared" si="17"/>
        <v>1</v>
      </c>
    </row>
    <row r="54" spans="1:30" s="28" customFormat="1" x14ac:dyDescent="0.3">
      <c r="A54" s="15" t="s">
        <v>102</v>
      </c>
      <c r="B54" s="32" t="s">
        <v>103</v>
      </c>
      <c r="C54" s="17">
        <f t="shared" si="1"/>
        <v>0</v>
      </c>
      <c r="D54" s="17">
        <f t="shared" si="1"/>
        <v>0</v>
      </c>
      <c r="E54" s="17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18">
        <f t="shared" si="17"/>
        <v>0</v>
      </c>
    </row>
    <row r="55" spans="1:30" s="28" customFormat="1" hidden="1" x14ac:dyDescent="0.3">
      <c r="A55" s="15" t="s">
        <v>104</v>
      </c>
      <c r="B55" s="32"/>
      <c r="C55" s="17">
        <f t="shared" si="1"/>
        <v>0</v>
      </c>
      <c r="D55" s="17">
        <f t="shared" si="1"/>
        <v>0</v>
      </c>
      <c r="E55" s="17" t="e">
        <f t="shared" ref="E55:E59" si="18">D55/C55%</f>
        <v>#DIV/0!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18">
        <f t="shared" si="17"/>
        <v>0</v>
      </c>
    </row>
    <row r="56" spans="1:30" s="28" customFormat="1" hidden="1" x14ac:dyDescent="0.3">
      <c r="A56" s="15" t="s">
        <v>105</v>
      </c>
      <c r="B56" s="32"/>
      <c r="C56" s="17">
        <f t="shared" si="1"/>
        <v>0</v>
      </c>
      <c r="D56" s="17">
        <f t="shared" si="1"/>
        <v>0</v>
      </c>
      <c r="E56" s="17" t="e">
        <f t="shared" si="18"/>
        <v>#DIV/0!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33"/>
      <c r="X56" s="21"/>
      <c r="Y56" s="21"/>
      <c r="Z56" s="21"/>
      <c r="AA56" s="21"/>
      <c r="AB56" s="21"/>
      <c r="AC56" s="21"/>
      <c r="AD56" s="18">
        <f t="shared" si="17"/>
        <v>0</v>
      </c>
    </row>
    <row r="57" spans="1:30" s="28" customFormat="1" hidden="1" x14ac:dyDescent="0.3">
      <c r="A57" s="15" t="s">
        <v>106</v>
      </c>
      <c r="B57" s="32"/>
      <c r="C57" s="17">
        <f t="shared" ref="C57:D59" si="19">F57+H57+J57+L57+N57+P57+R57+T57+V57+X57+Z57+AB57</f>
        <v>0</v>
      </c>
      <c r="D57" s="17">
        <f t="shared" si="19"/>
        <v>0</v>
      </c>
      <c r="E57" s="17" t="e">
        <f t="shared" si="18"/>
        <v>#DIV/0!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18">
        <f t="shared" si="17"/>
        <v>0</v>
      </c>
    </row>
    <row r="58" spans="1:30" s="28" customFormat="1" hidden="1" x14ac:dyDescent="0.25">
      <c r="A58" s="15" t="s">
        <v>107</v>
      </c>
      <c r="B58" s="16"/>
      <c r="C58" s="17">
        <f t="shared" si="19"/>
        <v>0</v>
      </c>
      <c r="D58" s="17">
        <f t="shared" si="19"/>
        <v>0</v>
      </c>
      <c r="E58" s="17" t="e">
        <f t="shared" si="18"/>
        <v>#DIV/0!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18">
        <f t="shared" si="17"/>
        <v>0</v>
      </c>
    </row>
    <row r="59" spans="1:30" s="28" customFormat="1" hidden="1" x14ac:dyDescent="0.25">
      <c r="A59" s="15" t="s">
        <v>108</v>
      </c>
      <c r="B59" s="16"/>
      <c r="C59" s="17">
        <f t="shared" si="19"/>
        <v>0</v>
      </c>
      <c r="D59" s="17">
        <f t="shared" si="19"/>
        <v>0</v>
      </c>
      <c r="E59" s="17" t="e">
        <f t="shared" si="18"/>
        <v>#DIV/0!</v>
      </c>
      <c r="F59" s="21"/>
      <c r="G59" s="21"/>
      <c r="H59" s="21"/>
      <c r="I59" s="21"/>
      <c r="J59" s="34"/>
      <c r="K59" s="21"/>
      <c r="L59" s="34"/>
      <c r="M59" s="21"/>
      <c r="N59" s="34"/>
      <c r="O59" s="21"/>
      <c r="P59" s="34"/>
      <c r="Q59" s="21"/>
      <c r="R59" s="34"/>
      <c r="S59" s="21"/>
      <c r="T59" s="34"/>
      <c r="U59" s="21"/>
      <c r="V59" s="34"/>
      <c r="W59" s="21"/>
      <c r="X59" s="21"/>
      <c r="Y59" s="21"/>
      <c r="Z59" s="21"/>
      <c r="AA59" s="21"/>
      <c r="AB59" s="21"/>
      <c r="AC59" s="21"/>
      <c r="AD59" s="18">
        <f t="shared" si="17"/>
        <v>0</v>
      </c>
    </row>
    <row r="60" spans="1:30" s="28" customFormat="1" ht="29.25" customHeight="1" x14ac:dyDescent="0.25">
      <c r="A60" s="11"/>
      <c r="B60" s="12" t="s">
        <v>109</v>
      </c>
      <c r="C60" s="13">
        <f>F60+H60+J60+L60+N60+P60+R60+T60+V60+X60+Z60+AB60</f>
        <v>49647.9</v>
      </c>
      <c r="D60" s="13">
        <f>G60+I60+K60+M60+O60+Q60+S60+U60+W60+Y60+AA60+AC60</f>
        <v>49633.4</v>
      </c>
      <c r="E60" s="13">
        <f>D60/C60%</f>
        <v>99.970794333697896</v>
      </c>
      <c r="F60" s="13">
        <f t="shared" ref="F60:AC60" si="20">F48+F7</f>
        <v>3996.2999999999997</v>
      </c>
      <c r="G60" s="13">
        <f t="shared" si="20"/>
        <v>2422</v>
      </c>
      <c r="H60" s="13">
        <f t="shared" si="20"/>
        <v>4107.8999999999996</v>
      </c>
      <c r="I60" s="13">
        <f t="shared" si="20"/>
        <v>3670.2999999999993</v>
      </c>
      <c r="J60" s="13">
        <f t="shared" si="20"/>
        <v>5039.5000000000009</v>
      </c>
      <c r="K60" s="13">
        <f t="shared" si="20"/>
        <v>3758.1999999999994</v>
      </c>
      <c r="L60" s="13">
        <f t="shared" si="20"/>
        <v>4360.5</v>
      </c>
      <c r="M60" s="13">
        <f t="shared" si="20"/>
        <v>5058.8999999999996</v>
      </c>
      <c r="N60" s="13">
        <f t="shared" si="20"/>
        <v>4573.2000000000007</v>
      </c>
      <c r="O60" s="13">
        <f t="shared" si="20"/>
        <v>4450</v>
      </c>
      <c r="P60" s="13">
        <f t="shared" si="20"/>
        <v>4435.9000000000005</v>
      </c>
      <c r="Q60" s="13">
        <f t="shared" si="20"/>
        <v>5342.6</v>
      </c>
      <c r="R60" s="13">
        <f t="shared" si="20"/>
        <v>4131.5999999999995</v>
      </c>
      <c r="S60" s="13">
        <f t="shared" si="20"/>
        <v>3859.9000000000005</v>
      </c>
      <c r="T60" s="13">
        <f t="shared" si="20"/>
        <v>3388.7000000000003</v>
      </c>
      <c r="U60" s="13">
        <f t="shared" si="20"/>
        <v>4469.3</v>
      </c>
      <c r="V60" s="13">
        <f t="shared" si="20"/>
        <v>3889.5000000000005</v>
      </c>
      <c r="W60" s="13">
        <f t="shared" si="20"/>
        <v>3322.6</v>
      </c>
      <c r="X60" s="13">
        <f t="shared" si="20"/>
        <v>3978.9</v>
      </c>
      <c r="Y60" s="13">
        <f t="shared" si="20"/>
        <v>3971.5</v>
      </c>
      <c r="Z60" s="13">
        <f t="shared" si="20"/>
        <v>4895.8999999999996</v>
      </c>
      <c r="AA60" s="13">
        <f t="shared" si="20"/>
        <v>3678.1</v>
      </c>
      <c r="AB60" s="13">
        <f t="shared" si="20"/>
        <v>2850.0000000000005</v>
      </c>
      <c r="AC60" s="13">
        <f t="shared" si="20"/>
        <v>5630</v>
      </c>
      <c r="AD60" s="13">
        <f>AD48+AD7</f>
        <v>14.500000000010175</v>
      </c>
    </row>
    <row r="61" spans="1:30" x14ac:dyDescent="0.3">
      <c r="A61" s="35" t="s">
        <v>110</v>
      </c>
      <c r="B61" s="36"/>
      <c r="C61" s="36"/>
      <c r="D61" s="36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8" t="s">
        <v>111</v>
      </c>
    </row>
    <row r="62" spans="1:30" x14ac:dyDescent="0.3">
      <c r="A62" s="35" t="s">
        <v>112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8" t="s">
        <v>113</v>
      </c>
    </row>
    <row r="63" spans="1:30" ht="12.75" x14ac:dyDescent="0.2">
      <c r="A63"/>
      <c r="AD63"/>
    </row>
    <row r="65" spans="4:11" x14ac:dyDescent="0.3">
      <c r="D65" s="39"/>
    </row>
    <row r="67" spans="4:11" x14ac:dyDescent="0.3">
      <c r="F67" s="5"/>
      <c r="G67" s="5"/>
      <c r="H67" s="5"/>
      <c r="I67" s="5"/>
      <c r="J67" s="5"/>
      <c r="K67" s="5"/>
    </row>
  </sheetData>
  <mergeCells count="21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E1:AP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86" right="0.16" top="0.24" bottom="0.17812500000000001" header="0.16" footer="0.16"/>
  <pageSetup paperSize="9" scale="2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міс 21</vt:lpstr>
      <vt:lpstr>'12 міс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2022-01-19T12:19:43Z</dcterms:created>
  <dcterms:modified xsi:type="dcterms:W3CDTF">2022-01-19T12:20:17Z</dcterms:modified>
</cp:coreProperties>
</file>