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23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'Лист1'!$A$1:$J$305</definedName>
  </definedNames>
  <calcPr fullCalcOnLoad="1"/>
</workbook>
</file>

<file path=xl/sharedStrings.xml><?xml version="1.0" encoding="utf-8"?>
<sst xmlns="http://schemas.openxmlformats.org/spreadsheetml/2006/main" count="741" uniqueCount="386">
  <si>
    <t>Відділ освіти Павлоградської міської ради</t>
  </si>
  <si>
    <t>Відділ культури Павлоградської міської ради</t>
  </si>
  <si>
    <t xml:space="preserve"> </t>
  </si>
  <si>
    <t>0910</t>
  </si>
  <si>
    <t>0921</t>
  </si>
  <si>
    <t>0960</t>
  </si>
  <si>
    <t>0990</t>
  </si>
  <si>
    <t>0320</t>
  </si>
  <si>
    <t>0810</t>
  </si>
  <si>
    <t>0731</t>
  </si>
  <si>
    <t>0821</t>
  </si>
  <si>
    <t>0490</t>
  </si>
  <si>
    <t>0610</t>
  </si>
  <si>
    <t>0620</t>
  </si>
  <si>
    <t>0443</t>
  </si>
  <si>
    <t>0421</t>
  </si>
  <si>
    <t>Виконавчий комітет Павлоградської міської ради</t>
  </si>
  <si>
    <t>Відділ з питань надзвичайних ситуацій та цивільного захисту населення Павлоградської міської ради</t>
  </si>
  <si>
    <t>0180</t>
  </si>
  <si>
    <t>Управління соціального захисту населення Павлоградської міської ради</t>
  </si>
  <si>
    <t>7310</t>
  </si>
  <si>
    <t>Відділ охорони здоров'я Павлоградської міської ради</t>
  </si>
  <si>
    <t>Багатопрофільна стаціонарна медична допомога населенню</t>
  </si>
  <si>
    <t>2010</t>
  </si>
  <si>
    <t>1100000</t>
  </si>
  <si>
    <t>1000000</t>
  </si>
  <si>
    <t>1010000</t>
  </si>
  <si>
    <t>1110000</t>
  </si>
  <si>
    <t>Загальний фонд</t>
  </si>
  <si>
    <t>Спеціальний фонд</t>
  </si>
  <si>
    <t>у тому числі:</t>
  </si>
  <si>
    <t>0830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</si>
  <si>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</si>
  <si>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</si>
  <si>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</si>
  <si>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5011</t>
  </si>
  <si>
    <t>Проведення навчально-тренувальних зборів і змагань  з олімпійських видів спорту</t>
  </si>
  <si>
    <t>5012</t>
  </si>
  <si>
    <t>Проведення навчально-тренувальних зборів і змагань з  неолімпійських видів спорту</t>
  </si>
  <si>
    <t>1115022</t>
  </si>
  <si>
    <t>5022</t>
  </si>
  <si>
    <t>1115062</t>
  </si>
  <si>
    <t>5062</t>
  </si>
  <si>
    <t>Підтримка спорту вищих досігнень та організацій, які здійснюють фізкультурно-спортивну діяльність в регіоні</t>
  </si>
  <si>
    <t>3033</t>
  </si>
  <si>
    <t>3035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</si>
  <si>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</si>
  <si>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</si>
  <si>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Інші видатки на соціальний захист ветеранів війни та праці</t>
  </si>
  <si>
    <t>Управління комунального господарства та будівництва Павлоградської міської ради</t>
  </si>
  <si>
    <t>Служба у справах дітей Павлоградської міської ради</t>
  </si>
  <si>
    <t>0700000</t>
  </si>
  <si>
    <t>0710000</t>
  </si>
  <si>
    <t>0712010</t>
  </si>
  <si>
    <t>2111</t>
  </si>
  <si>
    <t>2900000</t>
  </si>
  <si>
    <t>2918120</t>
  </si>
  <si>
    <t>8120</t>
  </si>
  <si>
    <t>Заходи з організації рятування на водах</t>
  </si>
  <si>
    <t>0800000</t>
  </si>
  <si>
    <t>0810000</t>
  </si>
  <si>
    <t>2910000</t>
  </si>
  <si>
    <t>Заходи державної політики з питань сім'ї</t>
  </si>
  <si>
    <t>1113123</t>
  </si>
  <si>
    <t>1113131</t>
  </si>
  <si>
    <t>Надання інших пільг окремим категоріям громадян відповідно до законодавства</t>
  </si>
  <si>
    <t>3032</t>
  </si>
  <si>
    <t>0813031</t>
  </si>
  <si>
    <t>0813032</t>
  </si>
  <si>
    <t>0813033</t>
  </si>
  <si>
    <t>0813035</t>
  </si>
  <si>
    <t xml:space="preserve">Здійснення заходів із землеустрою </t>
  </si>
  <si>
    <t>8410</t>
  </si>
  <si>
    <t>0210000</t>
  </si>
  <si>
    <t>0218410</t>
  </si>
  <si>
    <t>1014010</t>
  </si>
  <si>
    <t>4010</t>
  </si>
  <si>
    <t>7670</t>
  </si>
  <si>
    <t>0610000</t>
  </si>
  <si>
    <t>0611010</t>
  </si>
  <si>
    <t>Надання дошкільної освіти</t>
  </si>
  <si>
    <t>0613140</t>
  </si>
  <si>
    <t>0540</t>
  </si>
  <si>
    <t xml:space="preserve">Природоохоронні заходи за рахунок цільових фондів </t>
  </si>
  <si>
    <t>1200000</t>
  </si>
  <si>
    <t>6011</t>
  </si>
  <si>
    <t>1216030</t>
  </si>
  <si>
    <t>6030</t>
  </si>
  <si>
    <t>8340</t>
  </si>
  <si>
    <t>1218340</t>
  </si>
  <si>
    <t>2918110</t>
  </si>
  <si>
    <t>8110</t>
  </si>
  <si>
    <t>2919770</t>
  </si>
  <si>
    <t>9770</t>
  </si>
  <si>
    <t>0218220</t>
  </si>
  <si>
    <t>8220</t>
  </si>
  <si>
    <t>0380</t>
  </si>
  <si>
    <t>Заходи та роботи з мобілізаційної підготовки місцевого значення</t>
  </si>
  <si>
    <t>0218230</t>
  </si>
  <si>
    <t>8230</t>
  </si>
  <si>
    <t>Інші заходи громадського порядку та безпеки</t>
  </si>
  <si>
    <t>1210000</t>
  </si>
  <si>
    <t>0910000</t>
  </si>
  <si>
    <t>0900000</t>
  </si>
  <si>
    <t>0829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</si>
  <si>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</si>
  <si>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</si>
  <si>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Фінансова підтримка театрів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</si>
  <si>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</si>
  <si>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</si>
  <si>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</si>
  <si>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</si>
  <si>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Фінансова підтримка засобів масової інформації</t>
  </si>
  <si>
    <t>1217310</t>
  </si>
  <si>
    <t>0217650</t>
  </si>
  <si>
    <t>7650</t>
  </si>
  <si>
    <t>0217660</t>
  </si>
  <si>
    <t>7660</t>
  </si>
  <si>
    <t>Експлутація та технічне обслуговування житлового фонду</t>
  </si>
  <si>
    <t xml:space="preserve">Організація благоустрою населеих пунктів </t>
  </si>
  <si>
    <t>Будівництво об'єктів житлово-комунального господарства</t>
  </si>
  <si>
    <t>0200000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</si>
  <si>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</si>
  <si>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7640</t>
  </si>
  <si>
    <t>0470</t>
  </si>
  <si>
    <t xml:space="preserve"> Заходи з енергозбереження </t>
  </si>
  <si>
    <t>7461</t>
  </si>
  <si>
    <t>1217461</t>
  </si>
  <si>
    <t>Проведення експертної грошової оцінки земельної ділянки  чи права на неї</t>
  </si>
  <si>
    <t>Внески до статутного капіталу  суб'єктів господарювання</t>
  </si>
  <si>
    <t xml:space="preserve">Утримання та розвиток автомобільних доріг та дорожньої  інфраструктури за рахунок коштів місцевого бюджету </t>
  </si>
  <si>
    <t>Заходи із запобігання та ліквідації надзвичайних ситуацій та наслідків стихійного лиха</t>
  </si>
  <si>
    <t xml:space="preserve">Інші субвенції з місцевого бюджету </t>
  </si>
  <si>
    <t>0726</t>
  </si>
  <si>
    <t>1014082</t>
  </si>
  <si>
    <t>4082</t>
  </si>
  <si>
    <t>Інші заходи в галузі культури і мистецтва</t>
  </si>
  <si>
    <t>7691</t>
  </si>
  <si>
    <t>1217691</t>
  </si>
  <si>
    <t>1117691</t>
  </si>
  <si>
    <t>Проведення навчально-тренувальних зборів і змагань та заходів зі спорту осіб з інвалідністю</t>
  </si>
  <si>
    <t>0813191</t>
  </si>
  <si>
    <t>0813192</t>
  </si>
  <si>
    <t>0813242</t>
  </si>
  <si>
    <t>Інші заходи у сфері соціального захисту і соціального забезпечення</t>
  </si>
  <si>
    <t>Забезпечення діяльності інших закладів у сфері освіти</t>
  </si>
  <si>
    <t>Інші програми та заходи у сфері освіти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</si>
  <si>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</si>
  <si>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Відділ з питань сім'ї, молоді та спорту Павлоградської міської ради</t>
  </si>
  <si>
    <t>(грн)</t>
  </si>
  <si>
    <t>Код Функціональної класифікації видатків та кредитування бюджету</t>
  </si>
  <si>
    <t>Усього</t>
  </si>
  <si>
    <t>8210</t>
  </si>
  <si>
    <t>Муніципальні формування з охорони громадського порядку</t>
  </si>
  <si>
    <t>0218210</t>
  </si>
  <si>
    <t>1014030</t>
  </si>
  <si>
    <t>4030</t>
  </si>
  <si>
    <t>0824</t>
  </si>
  <si>
    <t>1217670</t>
  </si>
  <si>
    <t>Забезпечення діяльності бібліотек</t>
  </si>
  <si>
    <t>0210180</t>
  </si>
  <si>
    <t>Інша діяльність у сфері державного управління</t>
  </si>
  <si>
    <t>0133</t>
  </si>
  <si>
    <t>1014040</t>
  </si>
  <si>
    <t>4040</t>
  </si>
  <si>
    <t>3242</t>
  </si>
  <si>
    <t>1213242</t>
  </si>
  <si>
    <t>1115041</t>
  </si>
  <si>
    <t>5041</t>
  </si>
  <si>
    <t>Утримання та фінансова підтримка спортивних споруд</t>
  </si>
  <si>
    <t xml:space="preserve">Рішення міської ради від 17.09.2019р.  №1827-54/VII </t>
  </si>
  <si>
    <t>Інші заходи у сфері автотранспорту</t>
  </si>
  <si>
    <t>0817413</t>
  </si>
  <si>
    <t>0217130</t>
  </si>
  <si>
    <t>1217693</t>
  </si>
  <si>
    <t>7693</t>
  </si>
  <si>
    <t>Інші заходи, пов'язані з економічною діяльністю</t>
  </si>
  <si>
    <t>0763</t>
  </si>
  <si>
    <t>усього</t>
  </si>
  <si>
    <t>у тому числі                     бюджет розвитку</t>
  </si>
  <si>
    <t>0217350</t>
  </si>
  <si>
    <t>7350</t>
  </si>
  <si>
    <t>0217693</t>
  </si>
  <si>
    <t>7610</t>
  </si>
  <si>
    <t>0217610</t>
  </si>
  <si>
    <t>0411</t>
  </si>
  <si>
    <t xml:space="preserve">Сприяння розвитку малого та середнього підприємництва 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</si>
  <si>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</si>
  <si>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</si>
  <si>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</si>
  <si>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Рішення міської ради від 18.08.2020р.  №2241-71/VII </t>
  </si>
  <si>
    <t>Рішення міської ради  від 18.08.2020р. №2240-71/VII</t>
  </si>
  <si>
    <t>Забезпечення діяльності інших закладів у сфері соціального захисту і соціального забезпечення</t>
  </si>
  <si>
    <t>Забезпечення діяльності музеїв i виставок</t>
  </si>
  <si>
    <t>1217640</t>
  </si>
  <si>
    <t>Рішення міської ради від 07.07.2020р. №2179-68/VIІ</t>
  </si>
  <si>
    <t>Рішення міської ради від 07.07.2020р. № 2173-68/VIІ</t>
  </si>
  <si>
    <t>Рішення міської ради від 07.07.2020 р. №2177-68/VІІ</t>
  </si>
  <si>
    <t>0712152</t>
  </si>
  <si>
    <t>2152</t>
  </si>
  <si>
    <t>Інші програми та заходи у сфері охорони здоров'я</t>
  </si>
  <si>
    <t xml:space="preserve">Інші заходи, пов'язані з економічною діяльністю </t>
  </si>
  <si>
    <t xml:space="preserve">Розроблення схем планування та забудови територій (містобудівної документації) </t>
  </si>
  <si>
    <t>0456</t>
  </si>
  <si>
    <t>1216011</t>
  </si>
  <si>
    <t>Рішення міської ради від 29.09.2020.р. №2293-73/VIІ</t>
  </si>
  <si>
    <t>Надання позашкільної освіти закладами позашкільної освіти, заходи із позашкільної роботи з дітьми</t>
  </si>
  <si>
    <t>Рішення міської ради від 07.08.2018р. №1273-38/VIІ</t>
  </si>
  <si>
    <t>Рішення міської ради від 07.07.2020р. №2188-68/VIІ</t>
  </si>
  <si>
    <t>Рішення міської ради від  17.09.2019р. № 1825-54/VІІ</t>
  </si>
  <si>
    <t>0611021</t>
  </si>
  <si>
    <t xml:space="preserve">Надання загальної середньої освіти закладами загальної середньої освіти </t>
  </si>
  <si>
    <t>0611070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</si>
  <si>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</si>
  <si>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</si>
  <si>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</si>
  <si>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</si>
  <si>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</si>
  <si>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0611141</t>
  </si>
  <si>
    <t>0611031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</si>
  <si>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</si>
  <si>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Утримання та забезпечення діяльності  центрів соціальних служб</t>
  </si>
  <si>
    <t>Рішення міської ради від 17.09.2019р.  №1790-54/VIІ</t>
  </si>
  <si>
    <t>8311</t>
  </si>
  <si>
    <t>0511</t>
  </si>
  <si>
    <t>Охорона та раціональне використання природних ресурсів</t>
  </si>
  <si>
    <t>1217330</t>
  </si>
  <si>
    <t>7330</t>
  </si>
  <si>
    <t>0813121</t>
  </si>
  <si>
    <t>0810180</t>
  </si>
  <si>
    <t>1011080</t>
  </si>
  <si>
    <t>1080</t>
  </si>
  <si>
    <t>Рішення міської ради  від  23.03.2021р.  №144-7/VІІІ</t>
  </si>
  <si>
    <t>Рішення міської ради від 18.08.2020р.  № 2230-71/VІІ</t>
  </si>
  <si>
    <t xml:space="preserve">Будівництво  інших об"єктів   комунальної власності </t>
  </si>
  <si>
    <t>1218311</t>
  </si>
  <si>
    <t>0813241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</si>
  <si>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</si>
  <si>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</si>
  <si>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</si>
  <si>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</si>
  <si>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</si>
  <si>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Надання спеціалізованої освіти мистецькими школами </t>
  </si>
  <si>
    <t>Рішення міської ради від 27.07.2021р. №333-11/VIIІ</t>
  </si>
  <si>
    <t>7680</t>
  </si>
  <si>
    <t>Членські внески до асоціацій органів місцевого самоврядування</t>
  </si>
  <si>
    <t>3112</t>
  </si>
  <si>
    <t>Заходи державної політики з питань дітей та їх соціального захисту</t>
  </si>
  <si>
    <t>Рішення міської ради від 27.07.2021р. № 337-11/VIІІ</t>
  </si>
  <si>
    <t>1113133</t>
  </si>
  <si>
    <t>Інші заходи та заклади молодіжної політики</t>
  </si>
  <si>
    <t xml:space="preserve">Рішення міської ради від 16.11.2021р.  №452-14/VIII </t>
  </si>
  <si>
    <t>1217130</t>
  </si>
  <si>
    <t>Рішення міської ради від 27.07.2021р. №360-11/VIIІ</t>
  </si>
  <si>
    <t xml:space="preserve">    (код бюджету)</t>
  </si>
  <si>
    <t>Надання пільг окремим категоріям громадян з оплати послуг зв'язку</t>
  </si>
  <si>
    <t>0913112</t>
  </si>
  <si>
    <t>0217680</t>
  </si>
  <si>
    <t>12000000</t>
  </si>
  <si>
    <t>0600000</t>
  </si>
  <si>
    <t>0217340</t>
  </si>
  <si>
    <t>7340</t>
  </si>
  <si>
    <t xml:space="preserve">Проектування, реставрація та охорона пам'яток архітектури </t>
  </si>
  <si>
    <t>1218312</t>
  </si>
  <si>
    <t>8312</t>
  </si>
  <si>
    <t>0512</t>
  </si>
  <si>
    <t xml:space="preserve"> Утилізація відходів </t>
  </si>
  <si>
    <t>1216017</t>
  </si>
  <si>
    <t>6017</t>
  </si>
  <si>
    <t>Інша діяльність, пов'язана з експлуатацією об'єктів житлово-комунального господарства</t>
  </si>
  <si>
    <t>12110000</t>
  </si>
  <si>
    <t>1217322</t>
  </si>
  <si>
    <t>7322</t>
  </si>
  <si>
    <t>Будівництво медичних установ та закладів</t>
  </si>
  <si>
    <t>0611061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</si>
  <si>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</si>
  <si>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</si>
  <si>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0219800</t>
  </si>
  <si>
    <t xml:space="preserve">«Програми шефської допомоги військовим частинам Національної гвардії України на 2022-2026 роки» 
</t>
  </si>
  <si>
    <t xml:space="preserve">Програма «Розвитку земельних відносин і охорони земель у м. Павлограді на 2022-2024 роки»  </t>
  </si>
  <si>
    <t>Програма «Створення містобудівного кадастру  2022 -2024 роки»</t>
  </si>
  <si>
    <t>Програма  «Сприяння  розвитку підприємництва в м. Павлограда на 2022-2024 роки»</t>
  </si>
  <si>
    <t xml:space="preserve">Програма «Підвищення інвестиційної спроможності міста Павлограда  на 2022-2024 рік» </t>
  </si>
  <si>
    <t>Програма «Забезпечення діяльності комунального підприємства "Муніципальна варта" Павлоградської міської ради»  в м.Павлоград на 2021-2024 роки»</t>
  </si>
  <si>
    <t>Програма «Поліпшення організації призову громадян на строкову військову службу, приписки до призовної дільниці та підготовки юнаків до військової служби на 2019-2023 роки»</t>
  </si>
  <si>
    <t>Програма «Забезпечення громадського правопорядку та громадської безпеки на території м.Павлоград на період на 2021 - 2025 роки»</t>
  </si>
  <si>
    <t xml:space="preserve">Програма «Економічної підтримки комунального підприємства "Павлоградська телерадіокомпанія" Павлоградської міської ради  на 2022–2026 роки»  </t>
  </si>
  <si>
    <t>Програма «Розвиток освіти в місті Павлограді на 2021-2023 роки»</t>
  </si>
  <si>
    <t>«Програма для забезпечення виконання рішень суду на 2021 - 2025 роки»</t>
  </si>
  <si>
    <t>Програма «Соціальний захист окремих категорій населення на 2022-2024 роки»</t>
  </si>
  <si>
    <t>Програма «Захист прав і інтересів дітей, запобігання дитячій бездоглядності та безпритульності на 2020-2025 роки»</t>
  </si>
  <si>
    <t>Програма «Розвитку культури та збереження об`єктів культурної спадщини міста Павлограда на 2021-2025 роки»</t>
  </si>
  <si>
    <t>Програма «Реалізація державної політики у сфері сім'ї, молоді та спорту у м.Павлоград на 2022-2024 роки»</t>
  </si>
  <si>
    <t>Програма «Реформування і розвитку житлово-комунального господарства та об’єктів благоустрою міста Павлоград на 2020-2024 роки»</t>
  </si>
  <si>
    <t>Програма «Охорони навколишнього природного середовища  міста Павлограда  на 2022-2024 роки»</t>
  </si>
  <si>
    <t xml:space="preserve">Програма «Відшкодування відсоткових ставок або відшкодування  частини тіла кредитів, залучених ОСББ м. Павлограда  на впровадження енергоефективних заходів на 2019 – 2024 роки» </t>
  </si>
  <si>
    <t>Програма  «Виготовлення та розміщення  постерів  з питань життєдіяльності територіальної громади міста та  соціальної реклами на 2021-2023 роки»</t>
  </si>
  <si>
    <t xml:space="preserve">Комплексна програма  «Захисту населення і територій від надзвичайних ситуацій техногенного та природного характеру в м.Павлоград на 2021-2023 роки» </t>
  </si>
  <si>
    <t>Програма «Сприяння громадянської активності у розвитку м.Павлограда на 2022-2024 роки»</t>
  </si>
  <si>
    <t xml:space="preserve">від                </t>
  </si>
  <si>
    <t xml:space="preserve">№ </t>
  </si>
  <si>
    <t>Рішення міської ради від 30.08.2022р.  №722-27/VIII</t>
  </si>
  <si>
    <t xml:space="preserve">Програма «Здоров`я павлоградців на 2023-2025 роки </t>
  </si>
  <si>
    <t>Рішення міської ради  від 30.08.2022р. №708-27/VIII</t>
  </si>
  <si>
    <t>1216050</t>
  </si>
  <si>
    <t>6050</t>
  </si>
  <si>
    <t>Попередження аварій та запобігання техногенним катастрофам у житлово - комунальному господарстві та на інших аварійних об'єктах комунальної власності</t>
  </si>
  <si>
    <t>Програма «Співфінансування робіт по капітальному ремонту покрівель та ліфтів житлових будинків на 2023-2025 рік</t>
  </si>
  <si>
    <t>0813230</t>
  </si>
  <si>
    <t>Рішення міської ради від 30.05.2022р. №527</t>
  </si>
  <si>
    <t>«Програма впровадження енергетичного менеджменту в м.Павлоград на 2023-2027 роки»</t>
  </si>
  <si>
    <t>Рішення міської ради від 30.08.2022р. №711-27/VIIІ</t>
  </si>
  <si>
    <t xml:space="preserve">Програма  «Про відзначення та заохочення громадян, яким  присвоєно звання "Почесний громадянин міста Павлограда" та нагороджених відзнакою міського голови "За заслуги перед містом" на 2023-2027 роки»  </t>
  </si>
  <si>
    <t>Рішення міської ради від 30.08.2022р. №701-27/VІІІ</t>
  </si>
  <si>
    <t>0218240</t>
  </si>
  <si>
    <t>8240</t>
  </si>
  <si>
    <t>Заходи та роботи з територіальної оборони</t>
  </si>
  <si>
    <t>Програма «Територіальної оборони Павлоградської міської територіальної громади на 2023 рік»</t>
  </si>
  <si>
    <t xml:space="preserve">Рішення міської ради від 27.07.2021р. №319-11/VIIІ  </t>
  </si>
  <si>
    <t>Програма «Забезпечення участі Павлоградської міської ради в Асоціації міст України, в Асоціації міст Дніпропетровської області на 2021-2023 роки»</t>
  </si>
  <si>
    <t>Найменування місцевої/регіональної програми</t>
  </si>
  <si>
    <t>Дата і номер документа, яким затверджено місцеву/регіональну програму</t>
  </si>
  <si>
    <t>Х</t>
  </si>
  <si>
    <t>УСЬОГО</t>
  </si>
  <si>
    <t>1070</t>
  </si>
  <si>
    <t>0451</t>
  </si>
  <si>
    <t xml:space="preserve">Організація благоустрою населених пунктів </t>
  </si>
  <si>
    <t xml:space="preserve"> витрат бюджету Павлоградської міської територіальної громади  на реалізацію місцевих/регіональних програм у 2023 році
</t>
  </si>
  <si>
    <t>Розподіл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</si>
  <si>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</si>
  <si>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Здійснення заходів та реалізація проєктів на виконання Державної цільової соціальної програми "Молодь України"</t>
  </si>
  <si>
    <t>Програма «Альтернативне водозабезпечення            м. Павлоград  на 2022-2024 роки»</t>
  </si>
  <si>
    <t>Програма «Надання фінансової підтримки комунальним підприємствам, що належать до комунальної власності територіальної громади                       м. Павлоград на 2021-2023 роки»</t>
  </si>
  <si>
    <r>
      <t xml:space="preserve">  </t>
    </r>
    <r>
      <rPr>
        <u val="single"/>
        <sz val="16"/>
        <rFont val="Times New Roman"/>
        <family val="1"/>
      </rPr>
      <t>0458400000</t>
    </r>
  </si>
  <si>
    <t>1217381</t>
  </si>
  <si>
    <t>7381</t>
  </si>
  <si>
    <t>Реалізація проєктів в рамках Програми з відновлення України</t>
  </si>
  <si>
    <t>Рішення міської ради  від 30.08.2022р. №707-27/VIII</t>
  </si>
  <si>
    <t>Рішення міської ради від 27.07.2021р. № 320-11/VIІІ</t>
  </si>
  <si>
    <t>Рішення міської ради  від  27.07.2021р.  № 315-11/VІІІ</t>
  </si>
  <si>
    <t>Рішення міської ради  від 27.07.2021р.  № 311-11/VIІІ</t>
  </si>
  <si>
    <t>Рішення міської ради від 18.10.2022р. № 755-28/VIII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</si>
  <si>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</si>
  <si>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</si>
  <si>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0217691</t>
  </si>
  <si>
    <t>0813210</t>
  </si>
  <si>
    <t>3210</t>
  </si>
  <si>
    <t>1050</t>
  </si>
  <si>
    <t>Організація та проведення громадських робіт</t>
  </si>
  <si>
    <t>1213210</t>
  </si>
  <si>
    <t>2919800</t>
  </si>
  <si>
    <t>0719770</t>
  </si>
  <si>
    <t>0717322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</si>
  <si>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</si>
  <si>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</si>
  <si>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</si>
  <si>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Програма фінансової підтримки Головного управління Державної міграційної служби України у Днвпропетровській області (для Павлоградського відділу) на 2023 рік</t>
  </si>
  <si>
    <t>«Містобудівна програма міста Павлограда на 2023-2025 роки»</t>
  </si>
  <si>
    <t>Рішення міської ради від 22.02.2022р. № 588-19/VIІІ</t>
  </si>
  <si>
    <t>«Програма організації та проведення оплачуваних громадських робіт на 2023 - 2025 роки»</t>
  </si>
  <si>
    <t>Рішення міської ради від 27.07.2021р. №332-11/VIІІ</t>
  </si>
  <si>
    <t>Рішення міської ради від 14.03.2023р. №933-35/VIII</t>
  </si>
  <si>
    <t>7130</t>
  </si>
  <si>
    <t>Рішення міської ради від 14.03.2023р. №929-35/VIII</t>
  </si>
  <si>
    <t>1210180</t>
  </si>
  <si>
    <t>1217370</t>
  </si>
  <si>
    <t>7370</t>
  </si>
  <si>
    <t>Реалізація інших заходів щодо соціально-економічного розвитку територій</t>
  </si>
  <si>
    <t>0719750</t>
  </si>
  <si>
    <t>Субвенція з місцевого бюджету на співфінансування інвестиційних проектів</t>
  </si>
  <si>
    <t>2918240</t>
  </si>
  <si>
    <t>Відділ цивільного захисту та оборонної роботи Павлоградської міської ради</t>
  </si>
  <si>
    <t>Здійснення заходів із землеустрою</t>
  </si>
  <si>
    <t>1113140</t>
  </si>
  <si>
    <t>1216090</t>
  </si>
  <si>
    <t>6090</t>
  </si>
  <si>
    <t>0640</t>
  </si>
  <si>
    <t>Інша діяльність у сфері житлово - комунального господарства</t>
  </si>
  <si>
    <t>Додаток 6</t>
  </si>
  <si>
    <t>1217383</t>
  </si>
  <si>
    <t>7383</t>
  </si>
  <si>
    <t>Реалізація проектів (заходів) з відновлення освітніх установ та закладів, пошкоджених / знищених внаслідок збройної агресії, за рахунок коштів місцевих бюджетів</t>
  </si>
  <si>
    <t>0617372</t>
  </si>
  <si>
    <t>Реалізація проєктів (об'єктів, заходів) за рахунок коштів фонду ліквілації наслідків збройної агресії</t>
  </si>
  <si>
    <t xml:space="preserve">В.о. начальника фінансового управління                                  Наталя БОНДАРЧУК  </t>
  </si>
  <si>
    <t>до рішення виконавчого комітету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</si>
</sst>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0.000"/>
    <numFmt numFmtId="203" formatCode="0.0000"/>
    <numFmt numFmtId="204" formatCode="#,##0.000"/>
    <numFmt numFmtId="205" formatCode="#,##0.0000"/>
    <numFmt numFmtId="206" formatCode="#,##0.00000"/>
    <numFmt numFmtId="207" formatCode="#,##0.000000"/>
    <numFmt numFmtId="208" formatCode="#,##0.0000000"/>
    <numFmt numFmtId="209" formatCode="_-* #,##0.0_р_._-;\-* #,##0.0_р_._-;_-* &quot;-&quot;??_р_._-;_-@_-"/>
    <numFmt numFmtId="210" formatCode="_-* #,##0_р_._-;\-* #,##0_р_._-;_-* &quot;-&quot;??_р_._-;_-@_-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10"/>
      <name val="Times New Roman"/>
      <family val="1"/>
    </font>
    <font>
      <sz val="24"/>
      <name val="Arial Cyr"/>
      <family val="0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22" fillId="3" borderId="0" applyNumberFormat="0" applyBorder="0" applyAlignment="0" applyProtection="0"/>
    <xf numFmtId="0" fontId="42" fillId="4" borderId="0" applyNumberFormat="0" applyBorder="0" applyAlignment="0" applyProtection="0"/>
    <xf numFmtId="0" fontId="22" fillId="5" borderId="0" applyNumberFormat="0" applyBorder="0" applyAlignment="0" applyProtection="0"/>
    <xf numFmtId="0" fontId="42" fillId="6" borderId="0" applyNumberFormat="0" applyBorder="0" applyAlignment="0" applyProtection="0"/>
    <xf numFmtId="0" fontId="22" fillId="7" borderId="0" applyNumberFormat="0" applyBorder="0" applyAlignment="0" applyProtection="0"/>
    <xf numFmtId="0" fontId="42" fillId="8" borderId="0" applyNumberFormat="0" applyBorder="0" applyAlignment="0" applyProtection="0"/>
    <xf numFmtId="0" fontId="22" fillId="9" borderId="0" applyNumberFormat="0" applyBorder="0" applyAlignment="0" applyProtection="0"/>
    <xf numFmtId="0" fontId="42" fillId="10" borderId="0" applyNumberFormat="0" applyBorder="0" applyAlignment="0" applyProtection="0"/>
    <xf numFmtId="0" fontId="22" fillId="11" borderId="0" applyNumberFormat="0" applyBorder="0" applyAlignment="0" applyProtection="0"/>
    <xf numFmtId="0" fontId="4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42" fillId="14" borderId="0" applyNumberFormat="0" applyBorder="0" applyAlignment="0" applyProtection="0"/>
    <xf numFmtId="0" fontId="22" fillId="15" borderId="0" applyNumberFormat="0" applyBorder="0" applyAlignment="0" applyProtection="0"/>
    <xf numFmtId="0" fontId="42" fillId="16" borderId="0" applyNumberFormat="0" applyBorder="0" applyAlignment="0" applyProtection="0"/>
    <xf numFmtId="0" fontId="22" fillId="17" borderId="0" applyNumberFormat="0" applyBorder="0" applyAlignment="0" applyProtection="0"/>
    <xf numFmtId="0" fontId="42" fillId="18" borderId="0" applyNumberFormat="0" applyBorder="0" applyAlignment="0" applyProtection="0"/>
    <xf numFmtId="0" fontId="22" fillId="19" borderId="0" applyNumberFormat="0" applyBorder="0" applyAlignment="0" applyProtection="0"/>
    <xf numFmtId="0" fontId="42" fillId="20" borderId="0" applyNumberFormat="0" applyBorder="0" applyAlignment="0" applyProtection="0"/>
    <xf numFmtId="0" fontId="22" fillId="9" borderId="0" applyNumberFormat="0" applyBorder="0" applyAlignment="0" applyProtection="0"/>
    <xf numFmtId="0" fontId="42" fillId="21" borderId="0" applyNumberFormat="0" applyBorder="0" applyAlignment="0" applyProtection="0"/>
    <xf numFmtId="0" fontId="22" fillId="15" borderId="0" applyNumberFormat="0" applyBorder="0" applyAlignment="0" applyProtection="0"/>
    <xf numFmtId="0" fontId="4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43" fillId="24" borderId="0" applyNumberFormat="0" applyBorder="0" applyAlignment="0" applyProtection="0"/>
    <xf numFmtId="0" fontId="23" fillId="25" borderId="0" applyNumberFormat="0" applyBorder="0" applyAlignment="0" applyProtection="0"/>
    <xf numFmtId="0" fontId="43" fillId="26" borderId="0" applyNumberFormat="0" applyBorder="0" applyAlignment="0" applyProtection="0"/>
    <xf numFmtId="0" fontId="23" fillId="17" borderId="0" applyNumberFormat="0" applyBorder="0" applyAlignment="0" applyProtection="0"/>
    <xf numFmtId="0" fontId="43" fillId="27" borderId="0" applyNumberFormat="0" applyBorder="0" applyAlignment="0" applyProtection="0"/>
    <xf numFmtId="0" fontId="23" fillId="19" borderId="0" applyNumberFormat="0" applyBorder="0" applyAlignment="0" applyProtection="0"/>
    <xf numFmtId="0" fontId="43" fillId="28" borderId="0" applyNumberFormat="0" applyBorder="0" applyAlignment="0" applyProtection="0"/>
    <xf numFmtId="0" fontId="23" fillId="29" borderId="0" applyNumberFormat="0" applyBorder="0" applyAlignment="0" applyProtection="0"/>
    <xf numFmtId="0" fontId="43" fillId="30" borderId="0" applyNumberFormat="0" applyBorder="0" applyAlignment="0" applyProtection="0"/>
    <xf numFmtId="0" fontId="23" fillId="31" borderId="0" applyNumberFormat="0" applyBorder="0" applyAlignment="0" applyProtection="0"/>
    <xf numFmtId="0" fontId="4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29" borderId="0" applyNumberFormat="0" applyBorder="0" applyAlignment="0" applyProtection="0"/>
    <xf numFmtId="0" fontId="23" fillId="31" borderId="0" applyNumberFormat="0" applyBorder="0" applyAlignment="0" applyProtection="0"/>
    <xf numFmtId="0" fontId="23" fillId="33" borderId="0" applyNumberFormat="0" applyBorder="0" applyAlignment="0" applyProtection="0"/>
    <xf numFmtId="0" fontId="39" fillId="0" borderId="0">
      <alignment/>
      <protection/>
    </xf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29" borderId="0" applyNumberFormat="0" applyBorder="0" applyAlignment="0" applyProtection="0"/>
    <xf numFmtId="0" fontId="23" fillId="31" borderId="0" applyNumberFormat="0" applyBorder="0" applyAlignment="0" applyProtection="0"/>
    <xf numFmtId="0" fontId="23" fillId="43" borderId="0" applyNumberFormat="0" applyBorder="0" applyAlignment="0" applyProtection="0"/>
    <xf numFmtId="0" fontId="24" fillId="13" borderId="1" applyNumberFormat="0" applyAlignment="0" applyProtection="0"/>
    <xf numFmtId="0" fontId="44" fillId="44" borderId="2" applyNumberFormat="0" applyAlignment="0" applyProtection="0"/>
    <xf numFmtId="0" fontId="45" fillId="45" borderId="3" applyNumberFormat="0" applyAlignment="0" applyProtection="0"/>
    <xf numFmtId="0" fontId="46" fillId="45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47" fillId="0" borderId="4" applyNumberFormat="0" applyFill="0" applyAlignment="0" applyProtection="0"/>
    <xf numFmtId="0" fontId="27" fillId="0" borderId="5" applyNumberFormat="0" applyFill="0" applyAlignment="0" applyProtection="0"/>
    <xf numFmtId="0" fontId="48" fillId="0" borderId="6" applyNumberFormat="0" applyFill="0" applyAlignment="0" applyProtection="0"/>
    <xf numFmtId="0" fontId="28" fillId="0" borderId="7" applyNumberFormat="0" applyFill="0" applyAlignment="0" applyProtection="0"/>
    <xf numFmtId="0" fontId="49" fillId="0" borderId="8" applyNumberFormat="0" applyFill="0" applyAlignment="0" applyProtection="0"/>
    <xf numFmtId="0" fontId="2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36" fillId="0" borderId="10" applyNumberFormat="0" applyFill="0" applyAlignment="0" applyProtection="0"/>
    <xf numFmtId="0" fontId="50" fillId="0" borderId="11" applyNumberFormat="0" applyFill="0" applyAlignment="0" applyProtection="0"/>
    <xf numFmtId="0" fontId="31" fillId="46" borderId="12" applyNumberFormat="0" applyAlignment="0" applyProtection="0"/>
    <xf numFmtId="0" fontId="51" fillId="47" borderId="13" applyNumberFormat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26" fillId="49" borderId="1" applyNumberFormat="0" applyAlignment="0" applyProtection="0"/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54" fillId="50" borderId="0" applyNumberFormat="0" applyBorder="0" applyAlignment="0" applyProtection="0"/>
    <xf numFmtId="0" fontId="34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22" fillId="52" borderId="16" applyNumberFormat="0" applyFont="0" applyAlignment="0" applyProtection="0"/>
    <xf numFmtId="0" fontId="39" fillId="52" borderId="16" applyNumberFormat="0" applyFont="0" applyAlignment="0" applyProtection="0"/>
    <xf numFmtId="9" fontId="0" fillId="0" borderId="0" applyFont="0" applyFill="0" applyBorder="0" applyAlignment="0" applyProtection="0"/>
    <xf numFmtId="0" fontId="25" fillId="49" borderId="17" applyNumberFormat="0" applyAlignment="0" applyProtection="0"/>
    <xf numFmtId="0" fontId="56" fillId="0" borderId="18" applyNumberFormat="0" applyFill="0" applyAlignment="0" applyProtection="0"/>
    <xf numFmtId="0" fontId="33" fillId="53" borderId="0" applyNumberFormat="0" applyBorder="0" applyAlignment="0" applyProtection="0"/>
    <xf numFmtId="0" fontId="40" fillId="0" borderId="0">
      <alignment/>
      <protection/>
    </xf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5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horizontal="left" vertical="top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justify" vertical="center" wrapText="1"/>
    </xf>
    <xf numFmtId="0" fontId="9" fillId="0" borderId="19" xfId="0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>
      <alignment horizontal="justify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200" fontId="9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justify" vertical="center"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Alignment="1" applyProtection="1">
      <alignment horizontal="left" vertical="top"/>
      <protection/>
    </xf>
    <xf numFmtId="49" fontId="16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3" fontId="9" fillId="0" borderId="0" xfId="0" applyNumberFormat="1" applyFont="1" applyFill="1" applyAlignment="1">
      <alignment horizontal="justify" vertical="center"/>
    </xf>
    <xf numFmtId="4" fontId="9" fillId="0" borderId="0" xfId="0" applyNumberFormat="1" applyFont="1" applyFill="1" applyAlignment="1">
      <alignment horizontal="justify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vertical="center" wrapText="1"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>
      <alignment horizontal="justify" vertical="center"/>
    </xf>
    <xf numFmtId="2" fontId="9" fillId="0" borderId="19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79" fontId="9" fillId="0" borderId="0" xfId="0" applyNumberFormat="1" applyFont="1" applyFill="1" applyAlignment="1">
      <alignment/>
    </xf>
    <xf numFmtId="4" fontId="7" fillId="0" borderId="19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79" fontId="9" fillId="0" borderId="19" xfId="126" applyFont="1" applyFill="1" applyBorder="1" applyAlignment="1">
      <alignment horizontal="center" vertical="center"/>
    </xf>
    <xf numFmtId="179" fontId="7" fillId="0" borderId="19" xfId="126" applyFont="1" applyFill="1" applyBorder="1" applyAlignment="1">
      <alignment horizontal="justify" vertical="center" wrapText="1"/>
    </xf>
    <xf numFmtId="179" fontId="7" fillId="0" borderId="19" xfId="126" applyFont="1" applyFill="1" applyBorder="1" applyAlignment="1">
      <alignment horizontal="center" vertical="center" wrapText="1"/>
    </xf>
    <xf numFmtId="3" fontId="7" fillId="0" borderId="19" xfId="126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" fontId="9" fillId="0" borderId="0" xfId="0" applyNumberFormat="1" applyFont="1" applyFill="1" applyBorder="1" applyAlignment="1">
      <alignment/>
    </xf>
    <xf numFmtId="179" fontId="7" fillId="0" borderId="19" xfId="126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>
      <alignment horizontal="justify" vertical="center"/>
    </xf>
    <xf numFmtId="0" fontId="7" fillId="0" borderId="19" xfId="0" applyFont="1" applyFill="1" applyBorder="1" applyAlignment="1">
      <alignment horizontal="justify" vertical="center"/>
    </xf>
    <xf numFmtId="0" fontId="9" fillId="0" borderId="19" xfId="0" applyNumberFormat="1" applyFont="1" applyFill="1" applyBorder="1" applyAlignment="1" applyProtection="1">
      <alignment vertical="center" wrapText="1"/>
      <protection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/>
    </xf>
    <xf numFmtId="3" fontId="41" fillId="0" borderId="19" xfId="0" applyNumberFormat="1" applyFont="1" applyFill="1" applyBorder="1" applyAlignment="1">
      <alignment horizontal="center" vertical="center"/>
    </xf>
    <xf numFmtId="200" fontId="9" fillId="0" borderId="19" xfId="0" applyNumberFormat="1" applyFont="1" applyFill="1" applyBorder="1" applyAlignment="1">
      <alignment horizontal="justify" vertical="center" wrapText="1"/>
    </xf>
    <xf numFmtId="0" fontId="9" fillId="0" borderId="19" xfId="0" applyNumberFormat="1" applyFont="1" applyFill="1" applyBorder="1" applyAlignment="1" applyProtection="1">
      <alignment horizontal="left" vertical="center" wrapText="1"/>
      <protection/>
    </xf>
    <xf numFmtId="4" fontId="9" fillId="0" borderId="19" xfId="0" applyNumberFormat="1" applyFont="1" applyFill="1" applyBorder="1" applyAlignment="1" quotePrefix="1">
      <alignment vertical="center" wrapText="1"/>
    </xf>
    <xf numFmtId="4" fontId="9" fillId="0" borderId="19" xfId="0" applyNumberFormat="1" applyFont="1" applyFill="1" applyBorder="1" applyAlignment="1" quotePrefix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3" fontId="41" fillId="0" borderId="1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9" xfId="0" applyNumberFormat="1" applyFont="1" applyFill="1" applyBorder="1" applyAlignment="1">
      <alignment horizontal="justify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justify" vertical="center" wrapText="1"/>
      <protection locked="0"/>
    </xf>
    <xf numFmtId="0" fontId="9" fillId="0" borderId="23" xfId="0" applyFont="1" applyFill="1" applyBorder="1" applyAlignment="1" applyProtection="1">
      <alignment horizontal="justify" vertical="center" wrapText="1"/>
      <protection locked="0"/>
    </xf>
    <xf numFmtId="0" fontId="9" fillId="0" borderId="19" xfId="0" applyFont="1" applyFill="1" applyBorder="1" applyAlignment="1" quotePrefix="1">
      <alignment horizontal="center" vertical="center" wrapText="1"/>
    </xf>
    <xf numFmtId="4" fontId="9" fillId="0" borderId="19" xfId="0" applyNumberFormat="1" applyFont="1" applyFill="1" applyBorder="1" applyAlignment="1">
      <alignment horizontal="justify" vertical="center" wrapText="1"/>
    </xf>
    <xf numFmtId="49" fontId="9" fillId="0" borderId="19" xfId="0" applyNumberFormat="1" applyFont="1" applyFill="1" applyBorder="1" applyAlignment="1">
      <alignment horizontal="justify" vertical="center" wrapText="1"/>
    </xf>
    <xf numFmtId="49" fontId="9" fillId="0" borderId="22" xfId="0" applyNumberFormat="1" applyFont="1" applyFill="1" applyBorder="1" applyAlignment="1" applyProtection="1">
      <alignment horizontal="center" vertical="justify" wrapText="1"/>
      <protection locked="0"/>
    </xf>
    <xf numFmtId="0" fontId="9" fillId="0" borderId="0" xfId="0" applyNumberFormat="1" applyFont="1" applyFill="1" applyBorder="1" applyAlignment="1" applyProtection="1">
      <alignment horizontal="center" vertical="justify" wrapText="1"/>
      <protection locked="0"/>
    </xf>
    <xf numFmtId="0" fontId="9" fillId="0" borderId="22" xfId="0" applyFont="1" applyFill="1" applyBorder="1" applyAlignment="1" applyProtection="1">
      <alignment horizontal="justify" vertical="center" wrapText="1"/>
      <protection locked="0"/>
    </xf>
    <xf numFmtId="0" fontId="9" fillId="0" borderId="19" xfId="0" applyFont="1" applyFill="1" applyBorder="1" applyAlignment="1" quotePrefix="1">
      <alignment horizontal="justify" vertical="center" wrapText="1"/>
    </xf>
    <xf numFmtId="0" fontId="9" fillId="0" borderId="21" xfId="0" applyFont="1" applyFill="1" applyBorder="1" applyAlignment="1">
      <alignment horizontal="justify" vertical="center" wrapText="1"/>
    </xf>
    <xf numFmtId="3" fontId="9" fillId="0" borderId="19" xfId="126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justify" vertical="center" wrapText="1"/>
    </xf>
    <xf numFmtId="2" fontId="9" fillId="0" borderId="19" xfId="0" applyNumberFormat="1" applyFont="1" applyFill="1" applyBorder="1" applyAlignment="1">
      <alignment horizontal="justify" vertical="center" wrapText="1"/>
    </xf>
    <xf numFmtId="2" fontId="9" fillId="0" borderId="19" xfId="0" applyNumberFormat="1" applyFont="1" applyFill="1" applyBorder="1" applyAlignment="1" quotePrefix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justify" wrapText="1"/>
      <protection locked="0"/>
    </xf>
    <xf numFmtId="0" fontId="9" fillId="0" borderId="19" xfId="0" applyNumberFormat="1" applyFont="1" applyFill="1" applyBorder="1" applyAlignment="1" applyProtection="1">
      <alignment horizontal="center" vertical="justify" wrapText="1"/>
      <protection locked="0"/>
    </xf>
    <xf numFmtId="0" fontId="10" fillId="0" borderId="0" xfId="0" applyNumberFormat="1" applyFont="1" applyFill="1" applyAlignment="1" applyProtection="1">
      <alignment horizontal="center" vertical="top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49" fontId="15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Border="1" applyAlignment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</cellXfs>
  <cellStyles count="11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ичайний_Додаток _ 3 зм_ни 4575" xfId="100"/>
    <cellStyle name="Зв'язана клітинка" xfId="101"/>
    <cellStyle name="Итог" xfId="102"/>
    <cellStyle name="Контрольна клітинка" xfId="103"/>
    <cellStyle name="Контрольная ячейка" xfId="104"/>
    <cellStyle name="Назва" xfId="105"/>
    <cellStyle name="Название" xfId="106"/>
    <cellStyle name="Нейтральный" xfId="107"/>
    <cellStyle name="Обчислення" xfId="108"/>
    <cellStyle name="Обычный 2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0"/>
  <sheetViews>
    <sheetView tabSelected="1" zoomScale="73" zoomScaleNormal="73" zoomScaleSheetLayoutView="62" workbookViewId="0" topLeftCell="A28">
      <selection activeCell="A41" sqref="A41:IV41"/>
    </sheetView>
  </sheetViews>
  <sheetFormatPr defaultColWidth="9.00390625" defaultRowHeight="12.75"/>
  <cols>
    <col min="1" max="1" width="20.375" style="31" customWidth="1"/>
    <col min="2" max="2" width="17.75390625" style="27" customWidth="1"/>
    <col min="3" max="3" width="20.25390625" style="27" customWidth="1"/>
    <col min="4" max="4" width="49.25390625" style="27" customWidth="1"/>
    <col min="5" max="5" width="61.00390625" style="24" customWidth="1"/>
    <col min="6" max="6" width="38.25390625" style="24" customWidth="1"/>
    <col min="7" max="7" width="24.00390625" style="24" customWidth="1"/>
    <col min="8" max="8" width="22.875" style="24" customWidth="1"/>
    <col min="9" max="9" width="24.875" style="24" customWidth="1"/>
    <col min="10" max="10" width="22.25390625" style="24" customWidth="1"/>
    <col min="11" max="11" width="29.625" style="27" hidden="1" customWidth="1"/>
    <col min="12" max="12" width="17.75390625" style="27" hidden="1" customWidth="1"/>
    <col min="13" max="13" width="21.125" style="27" customWidth="1"/>
    <col min="14" max="14" width="17.625" style="27" customWidth="1"/>
    <col min="15" max="19" width="9.125" style="27" customWidth="1"/>
    <col min="20" max="20" width="23.375" style="27" customWidth="1"/>
    <col min="21" max="21" width="17.875" style="27" customWidth="1"/>
    <col min="22" max="16384" width="9.125" style="27" customWidth="1"/>
  </cols>
  <sheetData>
    <row r="1" spans="1:10" s="32" customFormat="1" ht="18.75">
      <c r="A1" s="28"/>
      <c r="B1" s="1"/>
      <c r="C1" s="1"/>
      <c r="D1" s="1"/>
      <c r="E1" s="2"/>
      <c r="F1" s="2"/>
      <c r="G1" s="2"/>
      <c r="H1" s="2" t="s">
        <v>378</v>
      </c>
      <c r="I1" s="2"/>
      <c r="J1" s="2"/>
    </row>
    <row r="2" spans="1:10" s="32" customFormat="1" ht="18.75">
      <c r="A2" s="28"/>
      <c r="B2" s="1"/>
      <c r="C2" s="1"/>
      <c r="D2" s="1"/>
      <c r="E2" s="2"/>
      <c r="F2" s="2"/>
      <c r="G2" s="2"/>
      <c r="H2" s="2" t="s">
        <v>385</v>
      </c>
      <c r="I2" s="2"/>
      <c r="J2" s="2"/>
    </row>
    <row r="3" spans="1:10" s="32" customFormat="1" ht="18.75">
      <c r="A3" s="28"/>
      <c r="B3" s="1"/>
      <c r="C3" s="1"/>
      <c r="D3" s="1"/>
      <c r="E3" s="2"/>
      <c r="F3" s="2"/>
      <c r="G3" s="2"/>
      <c r="H3" s="24" t="s">
        <v>299</v>
      </c>
      <c r="I3" s="2"/>
      <c r="J3" s="2"/>
    </row>
    <row r="4" spans="1:10" s="32" customFormat="1" ht="25.5">
      <c r="A4" s="28"/>
      <c r="B4" s="1"/>
      <c r="C4" s="1"/>
      <c r="D4" s="117"/>
      <c r="E4" s="117"/>
      <c r="F4" s="3"/>
      <c r="G4" s="76"/>
      <c r="H4" s="24" t="s">
        <v>300</v>
      </c>
      <c r="I4" s="2"/>
      <c r="J4" s="2"/>
    </row>
    <row r="5" spans="1:10" s="32" customFormat="1" ht="33" customHeight="1">
      <c r="A5" s="118" t="s">
        <v>328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s="33" customFormat="1" ht="43.5" customHeight="1">
      <c r="A6" s="126" t="s">
        <v>327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0" s="32" customFormat="1" ht="21.75" customHeight="1">
      <c r="A7" s="127" t="s">
        <v>333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s="32" customFormat="1" ht="41.25" customHeight="1">
      <c r="A8" s="129" t="s">
        <v>254</v>
      </c>
      <c r="B8" s="129"/>
      <c r="C8" s="129"/>
      <c r="D8" s="129"/>
      <c r="E8" s="129"/>
      <c r="F8" s="129"/>
      <c r="G8" s="129"/>
      <c r="H8" s="129"/>
      <c r="I8" s="129"/>
      <c r="J8" s="129"/>
    </row>
    <row r="9" spans="1:10" s="33" customFormat="1" ht="27" customHeight="1">
      <c r="A9" s="4"/>
      <c r="B9" s="4"/>
      <c r="C9" s="4"/>
      <c r="D9" s="4"/>
      <c r="E9" s="4"/>
      <c r="F9" s="4"/>
      <c r="G9" s="77"/>
      <c r="H9" s="77"/>
      <c r="I9" s="77"/>
      <c r="J9" s="78" t="s">
        <v>149</v>
      </c>
    </row>
    <row r="10" spans="1:10" s="46" customFormat="1" ht="30.75" customHeight="1">
      <c r="A10" s="134" t="s">
        <v>239</v>
      </c>
      <c r="B10" s="120" t="s">
        <v>240</v>
      </c>
      <c r="C10" s="120" t="s">
        <v>150</v>
      </c>
      <c r="D10" s="120" t="s">
        <v>241</v>
      </c>
      <c r="E10" s="130" t="s">
        <v>320</v>
      </c>
      <c r="F10" s="130" t="s">
        <v>321</v>
      </c>
      <c r="G10" s="124" t="s">
        <v>151</v>
      </c>
      <c r="H10" s="122" t="s">
        <v>28</v>
      </c>
      <c r="I10" s="132" t="s">
        <v>29</v>
      </c>
      <c r="J10" s="133"/>
    </row>
    <row r="11" spans="1:12" s="46" customFormat="1" ht="87.75" customHeight="1">
      <c r="A11" s="135"/>
      <c r="B11" s="121"/>
      <c r="C11" s="121"/>
      <c r="D11" s="121"/>
      <c r="E11" s="131"/>
      <c r="F11" s="131"/>
      <c r="G11" s="125"/>
      <c r="H11" s="123"/>
      <c r="I11" s="6" t="s">
        <v>178</v>
      </c>
      <c r="J11" s="6" t="s">
        <v>179</v>
      </c>
      <c r="K11" s="39"/>
      <c r="L11" s="39"/>
    </row>
    <row r="12" spans="1:12" s="33" customFormat="1" ht="56.25">
      <c r="A12" s="5"/>
      <c r="B12" s="5"/>
      <c r="C12" s="5"/>
      <c r="D12" s="9"/>
      <c r="E12" s="15" t="s">
        <v>310</v>
      </c>
      <c r="F12" s="6" t="s">
        <v>311</v>
      </c>
      <c r="G12" s="7">
        <f>G13</f>
        <v>14250</v>
      </c>
      <c r="H12" s="7">
        <f>H13</f>
        <v>14250</v>
      </c>
      <c r="I12" s="12"/>
      <c r="J12" s="12"/>
      <c r="K12" s="24"/>
      <c r="L12" s="24"/>
    </row>
    <row r="13" spans="1:12" s="33" customFormat="1" ht="37.5">
      <c r="A13" s="17" t="s">
        <v>121</v>
      </c>
      <c r="B13" s="11"/>
      <c r="C13" s="11"/>
      <c r="D13" s="8" t="s">
        <v>16</v>
      </c>
      <c r="E13" s="9"/>
      <c r="F13" s="10"/>
      <c r="G13" s="12">
        <f>G14</f>
        <v>14250</v>
      </c>
      <c r="H13" s="12">
        <f>H14</f>
        <v>14250</v>
      </c>
      <c r="I13" s="12"/>
      <c r="J13" s="12"/>
      <c r="K13" s="24"/>
      <c r="L13" s="24"/>
    </row>
    <row r="14" spans="1:12" s="33" customFormat="1" ht="37.5">
      <c r="A14" s="14" t="s">
        <v>73</v>
      </c>
      <c r="B14" s="11"/>
      <c r="C14" s="11"/>
      <c r="D14" s="47" t="s">
        <v>16</v>
      </c>
      <c r="E14" s="9"/>
      <c r="F14" s="10"/>
      <c r="G14" s="12">
        <f>H14+I14</f>
        <v>14250</v>
      </c>
      <c r="H14" s="12">
        <f>H16</f>
        <v>14250</v>
      </c>
      <c r="I14" s="12"/>
      <c r="J14" s="12"/>
      <c r="K14" s="24"/>
      <c r="L14" s="24"/>
    </row>
    <row r="15" spans="1:12" s="33" customFormat="1" ht="18.75">
      <c r="A15" s="5"/>
      <c r="B15" s="5"/>
      <c r="C15" s="5"/>
      <c r="D15" s="9"/>
      <c r="E15" s="9" t="s">
        <v>30</v>
      </c>
      <c r="F15" s="10"/>
      <c r="G15" s="12"/>
      <c r="H15" s="13"/>
      <c r="I15" s="13"/>
      <c r="J15" s="13"/>
      <c r="K15" s="24"/>
      <c r="L15" s="24"/>
    </row>
    <row r="16" spans="1:12" s="33" customFormat="1" ht="37.5">
      <c r="A16" s="5" t="s">
        <v>160</v>
      </c>
      <c r="B16" s="5" t="s">
        <v>18</v>
      </c>
      <c r="C16" s="5" t="s">
        <v>162</v>
      </c>
      <c r="D16" s="48" t="s">
        <v>161</v>
      </c>
      <c r="E16" s="9"/>
      <c r="F16" s="10"/>
      <c r="G16" s="12">
        <f>H16+I16</f>
        <v>14250</v>
      </c>
      <c r="H16" s="13">
        <f>66750-52500</f>
        <v>14250</v>
      </c>
      <c r="I16" s="13"/>
      <c r="J16" s="13"/>
      <c r="K16" s="24"/>
      <c r="L16" s="24"/>
    </row>
    <row r="17" spans="1:26" s="35" customFormat="1" ht="93.75">
      <c r="A17" s="5"/>
      <c r="B17" s="5"/>
      <c r="C17" s="5"/>
      <c r="D17" s="9"/>
      <c r="E17" s="15" t="s">
        <v>312</v>
      </c>
      <c r="F17" s="6" t="s">
        <v>313</v>
      </c>
      <c r="G17" s="7">
        <f>G18</f>
        <v>206128</v>
      </c>
      <c r="H17" s="16">
        <f>H18</f>
        <v>206128</v>
      </c>
      <c r="I17" s="16"/>
      <c r="J17" s="13"/>
      <c r="K17" s="34"/>
      <c r="L17" s="34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s="35" customFormat="1" ht="37.5">
      <c r="A18" s="17" t="s">
        <v>121</v>
      </c>
      <c r="B18" s="11"/>
      <c r="C18" s="11"/>
      <c r="D18" s="8" t="s">
        <v>16</v>
      </c>
      <c r="E18" s="9"/>
      <c r="F18" s="10"/>
      <c r="G18" s="12">
        <f>G19</f>
        <v>206128</v>
      </c>
      <c r="H18" s="13">
        <f>H19</f>
        <v>206128</v>
      </c>
      <c r="I18" s="13"/>
      <c r="J18" s="13"/>
      <c r="K18" s="34"/>
      <c r="L18" s="34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s="35" customFormat="1" ht="37.5">
      <c r="A19" s="14" t="s">
        <v>73</v>
      </c>
      <c r="B19" s="11"/>
      <c r="C19" s="11"/>
      <c r="D19" s="9" t="s">
        <v>16</v>
      </c>
      <c r="E19" s="9"/>
      <c r="F19" s="10"/>
      <c r="G19" s="12">
        <f>H19+I19</f>
        <v>206128</v>
      </c>
      <c r="H19" s="13">
        <f>H21</f>
        <v>206128</v>
      </c>
      <c r="I19" s="13"/>
      <c r="J19" s="13"/>
      <c r="K19" s="34"/>
      <c r="L19" s="34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s="35" customFormat="1" ht="18.75">
      <c r="A20" s="5"/>
      <c r="B20" s="5"/>
      <c r="C20" s="5"/>
      <c r="D20" s="9"/>
      <c r="E20" s="9" t="s">
        <v>30</v>
      </c>
      <c r="F20" s="10"/>
      <c r="G20" s="12"/>
      <c r="H20" s="13"/>
      <c r="I20" s="13"/>
      <c r="J20" s="13"/>
      <c r="K20" s="34"/>
      <c r="L20" s="34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s="35" customFormat="1" ht="37.5">
      <c r="A21" s="5" t="s">
        <v>160</v>
      </c>
      <c r="B21" s="5" t="s">
        <v>18</v>
      </c>
      <c r="C21" s="5" t="s">
        <v>162</v>
      </c>
      <c r="D21" s="9" t="s">
        <v>161</v>
      </c>
      <c r="E21" s="90"/>
      <c r="F21" s="18"/>
      <c r="G21" s="12">
        <f>H21+I21</f>
        <v>206128</v>
      </c>
      <c r="H21" s="13">
        <f>79128+55000+72000</f>
        <v>206128</v>
      </c>
      <c r="I21" s="13"/>
      <c r="J21" s="13"/>
      <c r="K21" s="34"/>
      <c r="L21" s="34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12" s="33" customFormat="1" ht="56.25">
      <c r="A22" s="5"/>
      <c r="B22" s="5"/>
      <c r="C22" s="5"/>
      <c r="D22" s="48"/>
      <c r="E22" s="15" t="s">
        <v>279</v>
      </c>
      <c r="F22" s="6" t="s">
        <v>253</v>
      </c>
      <c r="G22" s="16">
        <f>G23+G32</f>
        <v>1033400</v>
      </c>
      <c r="H22" s="59">
        <f>H23+H32</f>
        <v>860171.9199999999</v>
      </c>
      <c r="I22" s="67">
        <f>I24+I32</f>
        <v>173228.08000000002</v>
      </c>
      <c r="J22" s="16">
        <f>J24+J32</f>
        <v>158400</v>
      </c>
      <c r="K22" s="24"/>
      <c r="L22" s="24"/>
    </row>
    <row r="23" spans="1:12" s="33" customFormat="1" ht="37.5">
      <c r="A23" s="17" t="s">
        <v>121</v>
      </c>
      <c r="B23" s="55"/>
      <c r="C23" s="55"/>
      <c r="D23" s="8" t="s">
        <v>16</v>
      </c>
      <c r="E23" s="15"/>
      <c r="F23" s="6"/>
      <c r="G23" s="12">
        <f>G24</f>
        <v>908400</v>
      </c>
      <c r="H23" s="69">
        <f>H24</f>
        <v>735171.9199999999</v>
      </c>
      <c r="I23" s="69">
        <f>I24</f>
        <v>173228.08000000002</v>
      </c>
      <c r="J23" s="12">
        <f>J24</f>
        <v>158400</v>
      </c>
      <c r="K23" s="24"/>
      <c r="L23" s="24"/>
    </row>
    <row r="24" spans="1:12" s="33" customFormat="1" ht="37.5">
      <c r="A24" s="14" t="s">
        <v>73</v>
      </c>
      <c r="B24" s="11"/>
      <c r="C24" s="11"/>
      <c r="D24" s="47" t="s">
        <v>16</v>
      </c>
      <c r="E24" s="9"/>
      <c r="F24" s="10"/>
      <c r="G24" s="12">
        <f>H24+I24</f>
        <v>908400</v>
      </c>
      <c r="H24" s="69">
        <f>H26+H27+H28</f>
        <v>735171.9199999999</v>
      </c>
      <c r="I24" s="69">
        <f>I26+I27+I28</f>
        <v>173228.08000000002</v>
      </c>
      <c r="J24" s="12">
        <f>J26+J27+J28</f>
        <v>158400</v>
      </c>
      <c r="K24" s="24"/>
      <c r="L24" s="24"/>
    </row>
    <row r="25" spans="1:12" s="33" customFormat="1" ht="18.75">
      <c r="A25" s="49"/>
      <c r="B25" s="50"/>
      <c r="C25" s="50"/>
      <c r="D25" s="86"/>
      <c r="E25" s="9" t="s">
        <v>30</v>
      </c>
      <c r="F25" s="10"/>
      <c r="G25" s="12"/>
      <c r="H25" s="13"/>
      <c r="I25" s="13"/>
      <c r="J25" s="13"/>
      <c r="K25" s="24"/>
      <c r="L25" s="24"/>
    </row>
    <row r="26" spans="1:12" s="33" customFormat="1" ht="18.75">
      <c r="A26" s="56" t="s">
        <v>173</v>
      </c>
      <c r="B26" s="51">
        <v>7130</v>
      </c>
      <c r="C26" s="56" t="s">
        <v>15</v>
      </c>
      <c r="D26" s="86" t="s">
        <v>71</v>
      </c>
      <c r="E26" s="9"/>
      <c r="F26" s="10"/>
      <c r="G26" s="12">
        <f>H26+I26</f>
        <v>749999.9999999999</v>
      </c>
      <c r="H26" s="70">
        <f>220000+485171.92+30000</f>
        <v>735171.9199999999</v>
      </c>
      <c r="I26" s="70">
        <v>14828.08</v>
      </c>
      <c r="J26" s="13"/>
      <c r="K26" s="24"/>
      <c r="L26" s="24"/>
    </row>
    <row r="27" spans="1:12" s="33" customFormat="1" ht="56.25">
      <c r="A27" s="5" t="s">
        <v>114</v>
      </c>
      <c r="B27" s="5" t="s">
        <v>115</v>
      </c>
      <c r="C27" s="5" t="s">
        <v>11</v>
      </c>
      <c r="D27" s="48" t="s">
        <v>128</v>
      </c>
      <c r="E27" s="9"/>
      <c r="F27" s="10"/>
      <c r="G27" s="12">
        <f>I27+H27</f>
        <v>50000</v>
      </c>
      <c r="H27" s="13"/>
      <c r="I27" s="13">
        <v>50000</v>
      </c>
      <c r="J27" s="12">
        <f>I27</f>
        <v>50000</v>
      </c>
      <c r="K27" s="24"/>
      <c r="L27" s="24"/>
    </row>
    <row r="28" spans="1:12" s="33" customFormat="1" ht="138.75" customHeight="1">
      <c r="A28" s="5" t="s">
        <v>116</v>
      </c>
      <c r="B28" s="5" t="s">
        <v>117</v>
      </c>
      <c r="C28" s="5" t="s">
        <v>11</v>
      </c>
      <c r="D28" s="9" t="s">
        <v>122</v>
      </c>
      <c r="E28" s="9"/>
      <c r="F28" s="10"/>
      <c r="G28" s="12">
        <f>I28+H28</f>
        <v>108400</v>
      </c>
      <c r="H28" s="13"/>
      <c r="I28" s="13">
        <f>100000+38400-30000</f>
        <v>108400</v>
      </c>
      <c r="J28" s="13">
        <f>I28</f>
        <v>108400</v>
      </c>
      <c r="K28" s="24"/>
      <c r="L28" s="24"/>
    </row>
    <row r="29" spans="1:12" s="33" customFormat="1" ht="18.75" hidden="1">
      <c r="A29" s="19"/>
      <c r="B29" s="55"/>
      <c r="C29" s="55"/>
      <c r="D29" s="15"/>
      <c r="E29" s="15"/>
      <c r="F29" s="6"/>
      <c r="G29" s="7">
        <f>H29</f>
        <v>0</v>
      </c>
      <c r="H29" s="16"/>
      <c r="I29" s="16"/>
      <c r="J29" s="16"/>
      <c r="K29" s="24"/>
      <c r="L29" s="24"/>
    </row>
    <row r="30" spans="1:12" s="33" customFormat="1" ht="18.75" hidden="1">
      <c r="A30" s="5"/>
      <c r="B30" s="11"/>
      <c r="C30" s="11"/>
      <c r="D30" s="9"/>
      <c r="E30" s="9"/>
      <c r="F30" s="10"/>
      <c r="G30" s="12">
        <f>G29</f>
        <v>0</v>
      </c>
      <c r="H30" s="13"/>
      <c r="I30" s="13"/>
      <c r="J30" s="13"/>
      <c r="K30" s="24"/>
      <c r="L30" s="24"/>
    </row>
    <row r="31" spans="1:12" s="33" customFormat="1" ht="18.75" hidden="1">
      <c r="A31" s="56"/>
      <c r="B31" s="51"/>
      <c r="C31" s="56"/>
      <c r="D31" s="48"/>
      <c r="E31" s="9"/>
      <c r="F31" s="10"/>
      <c r="G31" s="12"/>
      <c r="H31" s="13"/>
      <c r="I31" s="13"/>
      <c r="J31" s="13"/>
      <c r="K31" s="24"/>
      <c r="L31" s="24"/>
    </row>
    <row r="32" spans="1:12" s="33" customFormat="1" ht="56.25">
      <c r="A32" s="49" t="s">
        <v>84</v>
      </c>
      <c r="B32" s="51"/>
      <c r="C32" s="56"/>
      <c r="D32" s="15" t="s">
        <v>49</v>
      </c>
      <c r="E32" s="9"/>
      <c r="F32" s="10"/>
      <c r="G32" s="7">
        <f>G33</f>
        <v>125000</v>
      </c>
      <c r="H32" s="16">
        <f>H33</f>
        <v>125000</v>
      </c>
      <c r="I32" s="16"/>
      <c r="J32" s="16"/>
      <c r="K32" s="24"/>
      <c r="L32" s="24"/>
    </row>
    <row r="33" spans="1:12" s="33" customFormat="1" ht="56.25">
      <c r="A33" s="56" t="s">
        <v>101</v>
      </c>
      <c r="B33" s="51"/>
      <c r="C33" s="56"/>
      <c r="D33" s="9" t="s">
        <v>49</v>
      </c>
      <c r="E33" s="9"/>
      <c r="F33" s="10"/>
      <c r="G33" s="12">
        <f>H33+I33</f>
        <v>125000</v>
      </c>
      <c r="H33" s="13">
        <f>H35</f>
        <v>125000</v>
      </c>
      <c r="I33" s="13"/>
      <c r="J33" s="13"/>
      <c r="K33" s="24"/>
      <c r="L33" s="24"/>
    </row>
    <row r="34" spans="1:12" s="33" customFormat="1" ht="18.75">
      <c r="A34" s="56"/>
      <c r="B34" s="51"/>
      <c r="C34" s="56"/>
      <c r="D34" s="48"/>
      <c r="E34" s="9" t="s">
        <v>30</v>
      </c>
      <c r="F34" s="10"/>
      <c r="G34" s="12"/>
      <c r="H34" s="13"/>
      <c r="I34" s="13"/>
      <c r="J34" s="13"/>
      <c r="K34" s="24"/>
      <c r="L34" s="24"/>
    </row>
    <row r="35" spans="1:12" s="33" customFormat="1" ht="18.75">
      <c r="A35" s="56" t="s">
        <v>252</v>
      </c>
      <c r="B35" s="51">
        <v>7130</v>
      </c>
      <c r="C35" s="56" t="s">
        <v>15</v>
      </c>
      <c r="D35" s="86" t="s">
        <v>71</v>
      </c>
      <c r="E35" s="9"/>
      <c r="F35" s="10"/>
      <c r="G35" s="12">
        <f>H35+I35</f>
        <v>125000</v>
      </c>
      <c r="H35" s="13">
        <f>15000+15000+95000</f>
        <v>125000</v>
      </c>
      <c r="I35" s="13"/>
      <c r="J35" s="13"/>
      <c r="K35" s="24"/>
      <c r="L35" s="24"/>
    </row>
    <row r="36" spans="1:16" s="35" customFormat="1" ht="37.5">
      <c r="A36" s="5"/>
      <c r="B36" s="5"/>
      <c r="C36" s="5"/>
      <c r="D36" s="48"/>
      <c r="E36" s="15" t="s">
        <v>357</v>
      </c>
      <c r="F36" s="6" t="s">
        <v>301</v>
      </c>
      <c r="G36" s="7">
        <f>G37</f>
        <v>899750</v>
      </c>
      <c r="H36" s="7"/>
      <c r="I36" s="7">
        <f>I37</f>
        <v>899750</v>
      </c>
      <c r="J36" s="16">
        <f>I36</f>
        <v>899750</v>
      </c>
      <c r="K36" s="34"/>
      <c r="L36" s="34"/>
      <c r="M36" s="60"/>
      <c r="N36" s="60"/>
      <c r="O36" s="61"/>
      <c r="P36" s="61"/>
    </row>
    <row r="37" spans="1:16" s="35" customFormat="1" ht="37.5">
      <c r="A37" s="17" t="s">
        <v>121</v>
      </c>
      <c r="B37" s="11"/>
      <c r="C37" s="11"/>
      <c r="D37" s="57" t="s">
        <v>16</v>
      </c>
      <c r="E37" s="9"/>
      <c r="F37" s="10"/>
      <c r="G37" s="12">
        <f>G38</f>
        <v>899750</v>
      </c>
      <c r="H37" s="12"/>
      <c r="I37" s="12">
        <f>I38</f>
        <v>899750</v>
      </c>
      <c r="J37" s="13">
        <f>I37</f>
        <v>899750</v>
      </c>
      <c r="K37" s="34"/>
      <c r="L37" s="34"/>
      <c r="M37" s="62"/>
      <c r="N37" s="62"/>
      <c r="O37" s="61"/>
      <c r="P37" s="61"/>
    </row>
    <row r="38" spans="1:16" s="35" customFormat="1" ht="37.5">
      <c r="A38" s="14" t="s">
        <v>73</v>
      </c>
      <c r="B38" s="11"/>
      <c r="C38" s="11"/>
      <c r="D38" s="9" t="s">
        <v>16</v>
      </c>
      <c r="E38" s="9"/>
      <c r="F38" s="10"/>
      <c r="G38" s="12">
        <f>H38+I38</f>
        <v>899750</v>
      </c>
      <c r="H38" s="12"/>
      <c r="I38" s="12">
        <f>I40+I41</f>
        <v>899750</v>
      </c>
      <c r="J38" s="13">
        <f>I38</f>
        <v>899750</v>
      </c>
      <c r="K38" s="34"/>
      <c r="L38" s="34"/>
      <c r="M38" s="62"/>
      <c r="N38" s="62"/>
      <c r="O38" s="61"/>
      <c r="P38" s="63"/>
    </row>
    <row r="39" spans="1:12" s="33" customFormat="1" ht="18.75">
      <c r="A39" s="49"/>
      <c r="B39" s="50"/>
      <c r="C39" s="50"/>
      <c r="D39" s="86"/>
      <c r="E39" s="9" t="s">
        <v>30</v>
      </c>
      <c r="F39" s="10"/>
      <c r="G39" s="12"/>
      <c r="H39" s="13"/>
      <c r="I39" s="13"/>
      <c r="J39" s="13"/>
      <c r="K39" s="24"/>
      <c r="L39" s="24"/>
    </row>
    <row r="40" spans="1:12" s="35" customFormat="1" ht="56.25">
      <c r="A40" s="5" t="s">
        <v>180</v>
      </c>
      <c r="B40" s="5" t="s">
        <v>181</v>
      </c>
      <c r="C40" s="5" t="s">
        <v>14</v>
      </c>
      <c r="D40" s="9" t="s">
        <v>202</v>
      </c>
      <c r="E40" s="52"/>
      <c r="F40" s="71"/>
      <c r="G40" s="12">
        <f>H40+I40</f>
        <v>899750</v>
      </c>
      <c r="H40" s="13"/>
      <c r="I40" s="13">
        <f>200000+699750</f>
        <v>899750</v>
      </c>
      <c r="J40" s="13">
        <f>I40</f>
        <v>899750</v>
      </c>
      <c r="K40" s="34"/>
      <c r="L40" s="34"/>
    </row>
    <row r="41" spans="1:12" s="35" customFormat="1" ht="37.5" hidden="1">
      <c r="A41" s="5" t="s">
        <v>260</v>
      </c>
      <c r="B41" s="5" t="s">
        <v>261</v>
      </c>
      <c r="C41" s="5" t="s">
        <v>14</v>
      </c>
      <c r="D41" s="9" t="s">
        <v>262</v>
      </c>
      <c r="E41" s="52"/>
      <c r="F41" s="71"/>
      <c r="G41" s="87">
        <f>H41+I41</f>
        <v>0</v>
      </c>
      <c r="H41" s="88"/>
      <c r="I41" s="88">
        <f>699750-699750</f>
        <v>0</v>
      </c>
      <c r="J41" s="88">
        <f>I41</f>
        <v>0</v>
      </c>
      <c r="K41" s="34"/>
      <c r="L41" s="34"/>
    </row>
    <row r="42" spans="1:12" s="35" customFormat="1" ht="37.5">
      <c r="A42" s="5"/>
      <c r="B42" s="5"/>
      <c r="C42" s="5"/>
      <c r="D42" s="9"/>
      <c r="E42" s="15" t="s">
        <v>280</v>
      </c>
      <c r="F42" s="6" t="s">
        <v>248</v>
      </c>
      <c r="G42" s="7">
        <f>G43</f>
        <v>201600</v>
      </c>
      <c r="H42" s="7">
        <f>H43</f>
        <v>201600</v>
      </c>
      <c r="I42" s="7"/>
      <c r="J42" s="7"/>
      <c r="K42" s="34"/>
      <c r="L42" s="34"/>
    </row>
    <row r="43" spans="1:12" s="35" customFormat="1" ht="37.5">
      <c r="A43" s="17" t="s">
        <v>121</v>
      </c>
      <c r="B43" s="17"/>
      <c r="C43" s="17"/>
      <c r="D43" s="8" t="s">
        <v>16</v>
      </c>
      <c r="E43" s="9"/>
      <c r="F43" s="10"/>
      <c r="G43" s="12">
        <f>G44</f>
        <v>201600</v>
      </c>
      <c r="H43" s="13">
        <f>H44</f>
        <v>201600</v>
      </c>
      <c r="I43" s="13"/>
      <c r="J43" s="13"/>
      <c r="K43" s="34"/>
      <c r="L43" s="34"/>
    </row>
    <row r="44" spans="1:12" s="35" customFormat="1" ht="37.5">
      <c r="A44" s="14" t="s">
        <v>73</v>
      </c>
      <c r="B44" s="14"/>
      <c r="C44" s="14"/>
      <c r="D44" s="9" t="s">
        <v>16</v>
      </c>
      <c r="E44" s="9"/>
      <c r="F44" s="10"/>
      <c r="G44" s="12">
        <f>H44+I44</f>
        <v>201600</v>
      </c>
      <c r="H44" s="13">
        <f>H46</f>
        <v>201600</v>
      </c>
      <c r="I44" s="13"/>
      <c r="J44" s="13"/>
      <c r="K44" s="34"/>
      <c r="L44" s="34"/>
    </row>
    <row r="45" spans="1:12" s="35" customFormat="1" ht="18.75">
      <c r="A45" s="49"/>
      <c r="B45" s="50"/>
      <c r="C45" s="50"/>
      <c r="D45" s="51"/>
      <c r="E45" s="9" t="s">
        <v>30</v>
      </c>
      <c r="F45" s="10"/>
      <c r="G45" s="12"/>
      <c r="H45" s="13"/>
      <c r="I45" s="13"/>
      <c r="J45" s="13"/>
      <c r="K45" s="34"/>
      <c r="L45" s="34"/>
    </row>
    <row r="46" spans="1:12" s="35" customFormat="1" ht="56.25">
      <c r="A46" s="5" t="s">
        <v>180</v>
      </c>
      <c r="B46" s="5" t="s">
        <v>181</v>
      </c>
      <c r="C46" s="5" t="s">
        <v>14</v>
      </c>
      <c r="D46" s="9" t="s">
        <v>202</v>
      </c>
      <c r="E46" s="9"/>
      <c r="F46" s="10"/>
      <c r="G46" s="12">
        <f>H46+I46</f>
        <v>201600</v>
      </c>
      <c r="H46" s="13">
        <f>51600-51600+201600</f>
        <v>201600</v>
      </c>
      <c r="I46" s="13"/>
      <c r="J46" s="13"/>
      <c r="K46" s="34"/>
      <c r="L46" s="34"/>
    </row>
    <row r="47" spans="1:12" s="35" customFormat="1" ht="56.25">
      <c r="A47" s="5"/>
      <c r="B47" s="5"/>
      <c r="C47" s="5"/>
      <c r="D47" s="9"/>
      <c r="E47" s="15" t="s">
        <v>281</v>
      </c>
      <c r="F47" s="6" t="s">
        <v>251</v>
      </c>
      <c r="G47" s="7">
        <f>G48</f>
        <v>525800</v>
      </c>
      <c r="H47" s="16">
        <f>H49</f>
        <v>525800</v>
      </c>
      <c r="I47" s="16"/>
      <c r="J47" s="13"/>
      <c r="K47" s="34"/>
      <c r="L47" s="34"/>
    </row>
    <row r="48" spans="1:12" s="35" customFormat="1" ht="37.5">
      <c r="A48" s="17" t="s">
        <v>121</v>
      </c>
      <c r="B48" s="11"/>
      <c r="C48" s="11"/>
      <c r="D48" s="57" t="s">
        <v>16</v>
      </c>
      <c r="E48" s="9"/>
      <c r="F48" s="10"/>
      <c r="G48" s="12">
        <f>G49</f>
        <v>525800</v>
      </c>
      <c r="H48" s="13">
        <f>H49</f>
        <v>525800</v>
      </c>
      <c r="I48" s="13"/>
      <c r="J48" s="13"/>
      <c r="K48" s="34"/>
      <c r="L48" s="34"/>
    </row>
    <row r="49" spans="1:12" s="35" customFormat="1" ht="37.5">
      <c r="A49" s="14" t="s">
        <v>73</v>
      </c>
      <c r="B49" s="11"/>
      <c r="C49" s="11"/>
      <c r="D49" s="48" t="s">
        <v>16</v>
      </c>
      <c r="E49" s="9"/>
      <c r="F49" s="10"/>
      <c r="G49" s="12">
        <f>H49+I49</f>
        <v>525800</v>
      </c>
      <c r="H49" s="13">
        <f>H51</f>
        <v>525800</v>
      </c>
      <c r="I49" s="13"/>
      <c r="J49" s="13"/>
      <c r="K49" s="34"/>
      <c r="L49" s="34"/>
    </row>
    <row r="50" spans="1:12" s="35" customFormat="1" ht="18.75">
      <c r="A50" s="5"/>
      <c r="B50" s="5"/>
      <c r="C50" s="5"/>
      <c r="D50" s="9"/>
      <c r="E50" s="9" t="s">
        <v>30</v>
      </c>
      <c r="F50" s="10"/>
      <c r="G50" s="12"/>
      <c r="H50" s="13"/>
      <c r="I50" s="13"/>
      <c r="J50" s="13"/>
      <c r="K50" s="34"/>
      <c r="L50" s="34"/>
    </row>
    <row r="51" spans="1:26" s="35" customFormat="1" ht="37.5">
      <c r="A51" s="5" t="s">
        <v>184</v>
      </c>
      <c r="B51" s="5" t="s">
        <v>183</v>
      </c>
      <c r="C51" s="5" t="s">
        <v>185</v>
      </c>
      <c r="D51" s="9" t="s">
        <v>186</v>
      </c>
      <c r="E51" s="9"/>
      <c r="F51" s="10"/>
      <c r="G51" s="12">
        <f>H51+I51</f>
        <v>525800</v>
      </c>
      <c r="H51" s="13">
        <f>213700+312100</f>
        <v>525800</v>
      </c>
      <c r="I51" s="13"/>
      <c r="J51" s="13"/>
      <c r="K51" s="34"/>
      <c r="L51" s="34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s="35" customFormat="1" ht="75">
      <c r="A52" s="5"/>
      <c r="B52" s="5"/>
      <c r="C52" s="5"/>
      <c r="D52" s="9"/>
      <c r="E52" s="15" t="s">
        <v>319</v>
      </c>
      <c r="F52" s="6" t="s">
        <v>208</v>
      </c>
      <c r="G52" s="7">
        <f>G53</f>
        <v>188255</v>
      </c>
      <c r="H52" s="7">
        <f>H53</f>
        <v>188255</v>
      </c>
      <c r="I52" s="7"/>
      <c r="J52" s="12"/>
      <c r="K52" s="34"/>
      <c r="L52" s="34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s="35" customFormat="1" ht="37.5">
      <c r="A53" s="17" t="s">
        <v>121</v>
      </c>
      <c r="B53" s="11"/>
      <c r="C53" s="11"/>
      <c r="D53" s="8" t="s">
        <v>16</v>
      </c>
      <c r="E53" s="9"/>
      <c r="F53" s="10"/>
      <c r="G53" s="12">
        <f>G54</f>
        <v>188255</v>
      </c>
      <c r="H53" s="12">
        <f>H54</f>
        <v>188255</v>
      </c>
      <c r="I53" s="12"/>
      <c r="J53" s="13"/>
      <c r="K53" s="34"/>
      <c r="L53" s="34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s="35" customFormat="1" ht="37.5">
      <c r="A54" s="14" t="s">
        <v>73</v>
      </c>
      <c r="B54" s="11"/>
      <c r="C54" s="11"/>
      <c r="D54" s="47" t="s">
        <v>16</v>
      </c>
      <c r="E54" s="9"/>
      <c r="F54" s="10"/>
      <c r="G54" s="12">
        <f>H54+I54</f>
        <v>188255</v>
      </c>
      <c r="H54" s="12">
        <f>H56</f>
        <v>188255</v>
      </c>
      <c r="I54" s="12"/>
      <c r="J54" s="12"/>
      <c r="K54" s="34"/>
      <c r="L54" s="34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12" s="35" customFormat="1" ht="18.75">
      <c r="A55" s="5"/>
      <c r="B55" s="5"/>
      <c r="C55" s="5"/>
      <c r="D55" s="9"/>
      <c r="E55" s="9" t="s">
        <v>30</v>
      </c>
      <c r="F55" s="10"/>
      <c r="G55" s="12"/>
      <c r="H55" s="13"/>
      <c r="I55" s="13"/>
      <c r="J55" s="13"/>
      <c r="K55" s="34"/>
      <c r="L55" s="34"/>
    </row>
    <row r="56" spans="1:12" s="35" customFormat="1" ht="37.5">
      <c r="A56" s="5" t="s">
        <v>257</v>
      </c>
      <c r="B56" s="5" t="s">
        <v>244</v>
      </c>
      <c r="C56" s="5" t="s">
        <v>11</v>
      </c>
      <c r="D56" s="9" t="s">
        <v>245</v>
      </c>
      <c r="E56" s="9"/>
      <c r="F56" s="10"/>
      <c r="G56" s="12">
        <f>H56+I56</f>
        <v>188255</v>
      </c>
      <c r="H56" s="13">
        <v>188255</v>
      </c>
      <c r="I56" s="13"/>
      <c r="J56" s="13"/>
      <c r="K56" s="34"/>
      <c r="L56" s="34"/>
    </row>
    <row r="57" spans="1:12" s="35" customFormat="1" ht="56.25">
      <c r="A57" s="5"/>
      <c r="B57" s="71"/>
      <c r="C57" s="71"/>
      <c r="D57" s="52"/>
      <c r="E57" s="15" t="s">
        <v>282</v>
      </c>
      <c r="F57" s="6" t="s">
        <v>318</v>
      </c>
      <c r="G57" s="7">
        <f>G58</f>
        <v>291657</v>
      </c>
      <c r="H57" s="16">
        <f>H58</f>
        <v>291657</v>
      </c>
      <c r="I57" s="16"/>
      <c r="J57" s="13"/>
      <c r="K57" s="34"/>
      <c r="L57" s="34"/>
    </row>
    <row r="58" spans="1:12" s="35" customFormat="1" ht="37.5">
      <c r="A58" s="17" t="s">
        <v>121</v>
      </c>
      <c r="B58" s="11"/>
      <c r="C58" s="11"/>
      <c r="D58" s="57" t="s">
        <v>16</v>
      </c>
      <c r="E58" s="9"/>
      <c r="F58" s="10"/>
      <c r="G58" s="12">
        <f>G59</f>
        <v>291657</v>
      </c>
      <c r="H58" s="13">
        <f>H59</f>
        <v>291657</v>
      </c>
      <c r="I58" s="13"/>
      <c r="J58" s="13"/>
      <c r="K58" s="34"/>
      <c r="L58" s="34"/>
    </row>
    <row r="59" spans="1:12" s="35" customFormat="1" ht="37.5">
      <c r="A59" s="14" t="s">
        <v>73</v>
      </c>
      <c r="B59" s="11"/>
      <c r="C59" s="11"/>
      <c r="D59" s="48" t="s">
        <v>16</v>
      </c>
      <c r="E59" s="9"/>
      <c r="F59" s="10"/>
      <c r="G59" s="12">
        <f>H59+I59</f>
        <v>291657</v>
      </c>
      <c r="H59" s="13">
        <f>H61</f>
        <v>291657</v>
      </c>
      <c r="I59" s="13"/>
      <c r="J59" s="13"/>
      <c r="K59" s="34"/>
      <c r="L59" s="34"/>
    </row>
    <row r="60" spans="1:12" s="35" customFormat="1" ht="18.75">
      <c r="A60" s="5"/>
      <c r="B60" s="71"/>
      <c r="C60" s="71"/>
      <c r="D60" s="52"/>
      <c r="E60" s="9" t="s">
        <v>30</v>
      </c>
      <c r="F60" s="10"/>
      <c r="G60" s="12"/>
      <c r="H60" s="13"/>
      <c r="I60" s="13"/>
      <c r="J60" s="13"/>
      <c r="K60" s="34"/>
      <c r="L60" s="34"/>
    </row>
    <row r="61" spans="1:12" s="35" customFormat="1" ht="37.5">
      <c r="A61" s="5" t="s">
        <v>182</v>
      </c>
      <c r="B61" s="5" t="s">
        <v>175</v>
      </c>
      <c r="C61" s="5" t="s">
        <v>11</v>
      </c>
      <c r="D61" s="9" t="s">
        <v>201</v>
      </c>
      <c r="E61" s="9"/>
      <c r="F61" s="10"/>
      <c r="G61" s="12">
        <f>H61+I61</f>
        <v>291657</v>
      </c>
      <c r="H61" s="13">
        <f>118750+80000+92907</f>
        <v>291657</v>
      </c>
      <c r="I61" s="13"/>
      <c r="J61" s="13"/>
      <c r="K61" s="34"/>
      <c r="L61" s="34"/>
    </row>
    <row r="62" spans="1:12" s="35" customFormat="1" ht="75">
      <c r="A62" s="5"/>
      <c r="B62" s="5"/>
      <c r="C62" s="5"/>
      <c r="D62" s="9"/>
      <c r="E62" s="15" t="s">
        <v>283</v>
      </c>
      <c r="F62" s="6" t="s">
        <v>205</v>
      </c>
      <c r="G62" s="7">
        <f>G63</f>
        <v>5107997</v>
      </c>
      <c r="H62" s="7">
        <f>H63</f>
        <v>5107997</v>
      </c>
      <c r="I62" s="16"/>
      <c r="J62" s="16"/>
      <c r="K62" s="34"/>
      <c r="L62" s="34"/>
    </row>
    <row r="63" spans="1:12" s="35" customFormat="1" ht="37.5">
      <c r="A63" s="14" t="s">
        <v>121</v>
      </c>
      <c r="B63" s="5"/>
      <c r="C63" s="5"/>
      <c r="D63" s="47" t="s">
        <v>16</v>
      </c>
      <c r="E63" s="9"/>
      <c r="F63" s="10"/>
      <c r="G63" s="12">
        <f>G64</f>
        <v>5107997</v>
      </c>
      <c r="H63" s="13">
        <f>H64</f>
        <v>5107997</v>
      </c>
      <c r="I63" s="13"/>
      <c r="J63" s="13"/>
      <c r="K63" s="34"/>
      <c r="L63" s="34"/>
    </row>
    <row r="64" spans="1:12" s="35" customFormat="1" ht="37.5">
      <c r="A64" s="14" t="s">
        <v>73</v>
      </c>
      <c r="B64" s="5"/>
      <c r="C64" s="5"/>
      <c r="D64" s="9" t="s">
        <v>16</v>
      </c>
      <c r="E64" s="9"/>
      <c r="F64" s="10"/>
      <c r="G64" s="12">
        <f>H64+I64</f>
        <v>5107997</v>
      </c>
      <c r="H64" s="12">
        <f>H66</f>
        <v>5107997</v>
      </c>
      <c r="I64" s="13"/>
      <c r="J64" s="13"/>
      <c r="K64" s="34"/>
      <c r="L64" s="34"/>
    </row>
    <row r="65" spans="1:12" s="35" customFormat="1" ht="18.75">
      <c r="A65" s="5"/>
      <c r="B65" s="5"/>
      <c r="C65" s="5"/>
      <c r="D65" s="9"/>
      <c r="E65" s="9" t="s">
        <v>30</v>
      </c>
      <c r="F65" s="10"/>
      <c r="G65" s="12"/>
      <c r="H65" s="13"/>
      <c r="I65" s="13"/>
      <c r="J65" s="13"/>
      <c r="K65" s="34"/>
      <c r="L65" s="34"/>
    </row>
    <row r="66" spans="1:12" s="35" customFormat="1" ht="37.5">
      <c r="A66" s="5" t="s">
        <v>154</v>
      </c>
      <c r="B66" s="5" t="s">
        <v>152</v>
      </c>
      <c r="C66" s="5" t="s">
        <v>96</v>
      </c>
      <c r="D66" s="9" t="s">
        <v>153</v>
      </c>
      <c r="E66" s="9"/>
      <c r="F66" s="10"/>
      <c r="G66" s="12">
        <f>H66+I66</f>
        <v>5107997</v>
      </c>
      <c r="H66" s="13">
        <v>5107997</v>
      </c>
      <c r="I66" s="13"/>
      <c r="J66" s="13"/>
      <c r="K66" s="34"/>
      <c r="L66" s="34"/>
    </row>
    <row r="67" spans="1:12" s="35" customFormat="1" ht="93.75">
      <c r="A67" s="5"/>
      <c r="B67" s="5"/>
      <c r="C67" s="5"/>
      <c r="D67" s="9"/>
      <c r="E67" s="15" t="s">
        <v>284</v>
      </c>
      <c r="F67" s="6" t="s">
        <v>207</v>
      </c>
      <c r="G67" s="7">
        <f aca="true" t="shared" si="0" ref="G67:J68">G68</f>
        <v>492485</v>
      </c>
      <c r="H67" s="7">
        <f t="shared" si="0"/>
        <v>405535</v>
      </c>
      <c r="I67" s="7">
        <f t="shared" si="0"/>
        <v>86950</v>
      </c>
      <c r="J67" s="7">
        <f t="shared" si="0"/>
        <v>86950</v>
      </c>
      <c r="K67" s="34"/>
      <c r="L67" s="34"/>
    </row>
    <row r="68" spans="1:12" s="35" customFormat="1" ht="37.5">
      <c r="A68" s="17" t="s">
        <v>121</v>
      </c>
      <c r="B68" s="11"/>
      <c r="C68" s="11"/>
      <c r="D68" s="8" t="s">
        <v>16</v>
      </c>
      <c r="E68" s="9"/>
      <c r="F68" s="10"/>
      <c r="G68" s="12">
        <f t="shared" si="0"/>
        <v>492485</v>
      </c>
      <c r="H68" s="12">
        <f t="shared" si="0"/>
        <v>405535</v>
      </c>
      <c r="I68" s="12">
        <f t="shared" si="0"/>
        <v>86950</v>
      </c>
      <c r="J68" s="12">
        <f t="shared" si="0"/>
        <v>86950</v>
      </c>
      <c r="K68" s="34"/>
      <c r="L68" s="34"/>
    </row>
    <row r="69" spans="1:12" s="35" customFormat="1" ht="37.5">
      <c r="A69" s="14" t="s">
        <v>73</v>
      </c>
      <c r="B69" s="11"/>
      <c r="C69" s="11"/>
      <c r="D69" s="9" t="s">
        <v>16</v>
      </c>
      <c r="E69" s="9"/>
      <c r="F69" s="10"/>
      <c r="G69" s="12">
        <f>H69+I69</f>
        <v>492485</v>
      </c>
      <c r="H69" s="12">
        <f>H71+H72</f>
        <v>405535</v>
      </c>
      <c r="I69" s="12">
        <f>I71+I72</f>
        <v>86950</v>
      </c>
      <c r="J69" s="12">
        <f>J71+J72</f>
        <v>86950</v>
      </c>
      <c r="K69" s="34"/>
      <c r="L69" s="34"/>
    </row>
    <row r="70" spans="1:12" s="35" customFormat="1" ht="18.75">
      <c r="A70" s="5"/>
      <c r="B70" s="5"/>
      <c r="C70" s="5"/>
      <c r="D70" s="9"/>
      <c r="E70" s="9" t="s">
        <v>30</v>
      </c>
      <c r="F70" s="10"/>
      <c r="G70" s="12"/>
      <c r="H70" s="13"/>
      <c r="I70" s="13"/>
      <c r="J70" s="13"/>
      <c r="K70" s="34"/>
      <c r="L70" s="34"/>
    </row>
    <row r="71" spans="1:12" s="35" customFormat="1" ht="37.5">
      <c r="A71" s="5" t="s">
        <v>94</v>
      </c>
      <c r="B71" s="5" t="s">
        <v>95</v>
      </c>
      <c r="C71" s="5" t="s">
        <v>96</v>
      </c>
      <c r="D71" s="52" t="s">
        <v>97</v>
      </c>
      <c r="E71" s="9"/>
      <c r="F71" s="10"/>
      <c r="G71" s="12">
        <f>H71+I71</f>
        <v>90000</v>
      </c>
      <c r="H71" s="13">
        <f>415000-355000+30000</f>
        <v>90000</v>
      </c>
      <c r="I71" s="13"/>
      <c r="J71" s="13"/>
      <c r="K71" s="34"/>
      <c r="L71" s="34"/>
    </row>
    <row r="72" spans="1:12" s="35" customFormat="1" ht="75">
      <c r="A72" s="5" t="s">
        <v>277</v>
      </c>
      <c r="B72" s="5" t="s">
        <v>275</v>
      </c>
      <c r="C72" s="5" t="s">
        <v>18</v>
      </c>
      <c r="D72" s="52" t="s">
        <v>276</v>
      </c>
      <c r="E72" s="9"/>
      <c r="F72" s="10"/>
      <c r="G72" s="12">
        <f>H72+I72</f>
        <v>402485</v>
      </c>
      <c r="H72" s="13">
        <f>315618-83</f>
        <v>315535</v>
      </c>
      <c r="I72" s="13">
        <f>86997-47</f>
        <v>86950</v>
      </c>
      <c r="J72" s="13">
        <f>I72</f>
        <v>86950</v>
      </c>
      <c r="K72" s="34"/>
      <c r="L72" s="34"/>
    </row>
    <row r="73" spans="1:12" s="35" customFormat="1" ht="75">
      <c r="A73" s="5"/>
      <c r="B73" s="5"/>
      <c r="C73" s="5"/>
      <c r="D73" s="9"/>
      <c r="E73" s="15" t="s">
        <v>285</v>
      </c>
      <c r="F73" s="6" t="s">
        <v>195</v>
      </c>
      <c r="G73" s="7">
        <f>G74</f>
        <v>5400766</v>
      </c>
      <c r="H73" s="7">
        <f>H75</f>
        <v>1756640</v>
      </c>
      <c r="I73" s="7">
        <f>I75</f>
        <v>3644126</v>
      </c>
      <c r="J73" s="7">
        <f>J75</f>
        <v>3644126</v>
      </c>
      <c r="K73" s="34"/>
      <c r="L73" s="34"/>
    </row>
    <row r="74" spans="1:12" s="35" customFormat="1" ht="37.5">
      <c r="A74" s="17" t="s">
        <v>121</v>
      </c>
      <c r="B74" s="11"/>
      <c r="C74" s="11"/>
      <c r="D74" s="8" t="s">
        <v>16</v>
      </c>
      <c r="E74" s="9"/>
      <c r="F74" s="10"/>
      <c r="G74" s="12">
        <f>G75</f>
        <v>5400766</v>
      </c>
      <c r="H74" s="12">
        <f>H75</f>
        <v>1756640</v>
      </c>
      <c r="I74" s="12">
        <f>I75</f>
        <v>3644126</v>
      </c>
      <c r="J74" s="12">
        <f>J75</f>
        <v>3644126</v>
      </c>
      <c r="K74" s="34"/>
      <c r="L74" s="34"/>
    </row>
    <row r="75" spans="1:12" s="35" customFormat="1" ht="37.5">
      <c r="A75" s="14" t="s">
        <v>73</v>
      </c>
      <c r="B75" s="11"/>
      <c r="C75" s="11"/>
      <c r="D75" s="9" t="s">
        <v>16</v>
      </c>
      <c r="E75" s="9"/>
      <c r="F75" s="10"/>
      <c r="G75" s="12">
        <f>H75+I75</f>
        <v>5400766</v>
      </c>
      <c r="H75" s="12">
        <f>H77+H78</f>
        <v>1756640</v>
      </c>
      <c r="I75" s="12">
        <f>I77+I78</f>
        <v>3644126</v>
      </c>
      <c r="J75" s="12">
        <f>J77+J78</f>
        <v>3644126</v>
      </c>
      <c r="K75" s="34"/>
      <c r="L75" s="34"/>
    </row>
    <row r="76" spans="1:12" s="35" customFormat="1" ht="18.75">
      <c r="A76" s="5"/>
      <c r="B76" s="5"/>
      <c r="C76" s="5"/>
      <c r="D76" s="9"/>
      <c r="E76" s="9" t="s">
        <v>30</v>
      </c>
      <c r="F76" s="10"/>
      <c r="G76" s="12"/>
      <c r="H76" s="13"/>
      <c r="I76" s="13"/>
      <c r="J76" s="13"/>
      <c r="K76" s="34"/>
      <c r="L76" s="34"/>
    </row>
    <row r="77" spans="1:12" s="35" customFormat="1" ht="37.5">
      <c r="A77" s="5" t="s">
        <v>98</v>
      </c>
      <c r="B77" s="5" t="s">
        <v>99</v>
      </c>
      <c r="C77" s="5" t="s">
        <v>96</v>
      </c>
      <c r="D77" s="52" t="s">
        <v>100</v>
      </c>
      <c r="E77" s="9"/>
      <c r="F77" s="10"/>
      <c r="G77" s="12">
        <f>H77+I77</f>
        <v>1600772</v>
      </c>
      <c r="H77" s="13">
        <f>900654+135268+177417-124822+2220+898+47461+27544</f>
        <v>1166640</v>
      </c>
      <c r="I77" s="13">
        <f>245310+124822+64000</f>
        <v>434132</v>
      </c>
      <c r="J77" s="13">
        <f>I77</f>
        <v>434132</v>
      </c>
      <c r="K77" s="34"/>
      <c r="L77" s="34"/>
    </row>
    <row r="78" spans="1:12" s="35" customFormat="1" ht="75">
      <c r="A78" s="5" t="s">
        <v>277</v>
      </c>
      <c r="B78" s="5" t="s">
        <v>275</v>
      </c>
      <c r="C78" s="5" t="s">
        <v>18</v>
      </c>
      <c r="D78" s="52" t="s">
        <v>276</v>
      </c>
      <c r="E78" s="9"/>
      <c r="F78" s="10"/>
      <c r="G78" s="12">
        <f>H78+I78</f>
        <v>3799994</v>
      </c>
      <c r="H78" s="13">
        <f>500000+90000</f>
        <v>590000</v>
      </c>
      <c r="I78" s="13">
        <f>499994+300000+1910000+500000</f>
        <v>3209994</v>
      </c>
      <c r="J78" s="13">
        <f>I78</f>
        <v>3209994</v>
      </c>
      <c r="K78" s="34"/>
      <c r="L78" s="34"/>
    </row>
    <row r="79" spans="1:12" s="46" customFormat="1" ht="56.25">
      <c r="A79" s="68"/>
      <c r="B79" s="81"/>
      <c r="C79" s="81"/>
      <c r="D79" s="81"/>
      <c r="E79" s="15" t="s">
        <v>317</v>
      </c>
      <c r="F79" s="6" t="s">
        <v>337</v>
      </c>
      <c r="G79" s="82">
        <f>G80+G85</f>
        <v>16139000</v>
      </c>
      <c r="H79" s="83">
        <f>H80+H85</f>
        <v>5458260</v>
      </c>
      <c r="I79" s="83">
        <f>I80+I85</f>
        <v>10680740</v>
      </c>
      <c r="J79" s="83">
        <f>J80+J85</f>
        <v>10680740</v>
      </c>
      <c r="K79" s="39"/>
      <c r="L79" s="39"/>
    </row>
    <row r="80" spans="1:12" s="33" customFormat="1" ht="37.5">
      <c r="A80" s="17" t="s">
        <v>121</v>
      </c>
      <c r="B80" s="11"/>
      <c r="C80" s="11"/>
      <c r="D80" s="8" t="s">
        <v>16</v>
      </c>
      <c r="E80" s="9"/>
      <c r="F80" s="10"/>
      <c r="G80" s="12">
        <f>G81</f>
        <v>9344307</v>
      </c>
      <c r="H80" s="12">
        <f>H81</f>
        <v>2558967</v>
      </c>
      <c r="I80" s="12">
        <f>I81</f>
        <v>6785340</v>
      </c>
      <c r="J80" s="12">
        <f>J81</f>
        <v>6785340</v>
      </c>
      <c r="K80" s="24"/>
      <c r="L80" s="24"/>
    </row>
    <row r="81" spans="1:12" s="33" customFormat="1" ht="37.5">
      <c r="A81" s="14" t="s">
        <v>73</v>
      </c>
      <c r="B81" s="11"/>
      <c r="C81" s="11"/>
      <c r="D81" s="47" t="s">
        <v>16</v>
      </c>
      <c r="E81" s="9"/>
      <c r="F81" s="10"/>
      <c r="G81" s="12">
        <f>H81+I81</f>
        <v>9344307</v>
      </c>
      <c r="H81" s="12">
        <f>H83+H84</f>
        <v>2558967</v>
      </c>
      <c r="I81" s="12">
        <f>I83+I84</f>
        <v>6785340</v>
      </c>
      <c r="J81" s="12">
        <f>J83+J84</f>
        <v>6785340</v>
      </c>
      <c r="K81" s="24"/>
      <c r="L81" s="24"/>
    </row>
    <row r="82" spans="1:12" s="33" customFormat="1" ht="18.75">
      <c r="A82" s="5"/>
      <c r="B82" s="5"/>
      <c r="C82" s="5"/>
      <c r="D82" s="9"/>
      <c r="E82" s="9" t="s">
        <v>30</v>
      </c>
      <c r="F82" s="10"/>
      <c r="G82" s="12"/>
      <c r="H82" s="13"/>
      <c r="I82" s="13"/>
      <c r="J82" s="13"/>
      <c r="K82" s="24"/>
      <c r="L82" s="24"/>
    </row>
    <row r="83" spans="1:12" s="33" customFormat="1" ht="37.5">
      <c r="A83" s="5" t="s">
        <v>314</v>
      </c>
      <c r="B83" s="5" t="s">
        <v>315</v>
      </c>
      <c r="C83" s="5" t="s">
        <v>96</v>
      </c>
      <c r="D83" s="48" t="s">
        <v>316</v>
      </c>
      <c r="E83" s="9"/>
      <c r="F83" s="10"/>
      <c r="G83" s="12">
        <f>H83+I83</f>
        <v>8344307</v>
      </c>
      <c r="H83" s="13">
        <f>1400000+953260+2000000-700000-920493-954100-219700</f>
        <v>1558967</v>
      </c>
      <c r="I83" s="13">
        <f>2046740+600000+700000+2250000+1564000-375400</f>
        <v>6785340</v>
      </c>
      <c r="J83" s="13">
        <f>I83</f>
        <v>6785340</v>
      </c>
      <c r="K83" s="24"/>
      <c r="L83" s="24"/>
    </row>
    <row r="84" spans="1:12" s="35" customFormat="1" ht="75">
      <c r="A84" s="5" t="s">
        <v>277</v>
      </c>
      <c r="B84" s="5" t="s">
        <v>275</v>
      </c>
      <c r="C84" s="5" t="s">
        <v>18</v>
      </c>
      <c r="D84" s="52" t="s">
        <v>276</v>
      </c>
      <c r="E84" s="9"/>
      <c r="F84" s="10"/>
      <c r="G84" s="12">
        <f>H84+I84</f>
        <v>1000000</v>
      </c>
      <c r="H84" s="13">
        <f>500000+420000+80000</f>
        <v>1000000</v>
      </c>
      <c r="I84" s="89">
        <v>0</v>
      </c>
      <c r="J84" s="89">
        <v>0</v>
      </c>
      <c r="K84" s="34"/>
      <c r="L84" s="34"/>
    </row>
    <row r="85" spans="1:12" s="35" customFormat="1" ht="56.25">
      <c r="A85" s="19" t="s">
        <v>55</v>
      </c>
      <c r="B85" s="5"/>
      <c r="C85" s="5"/>
      <c r="D85" s="85" t="s">
        <v>371</v>
      </c>
      <c r="E85" s="9"/>
      <c r="F85" s="10"/>
      <c r="G85" s="12">
        <f>H85+I85</f>
        <v>6794693</v>
      </c>
      <c r="H85" s="13">
        <f aca="true" t="shared" si="1" ref="H85:J86">H86</f>
        <v>2899293</v>
      </c>
      <c r="I85" s="13">
        <f t="shared" si="1"/>
        <v>3895400</v>
      </c>
      <c r="J85" s="13">
        <f t="shared" si="1"/>
        <v>3895400</v>
      </c>
      <c r="K85" s="34"/>
      <c r="L85" s="34"/>
    </row>
    <row r="86" spans="1:12" s="35" customFormat="1" ht="37.5">
      <c r="A86" s="5" t="s">
        <v>61</v>
      </c>
      <c r="B86" s="5"/>
      <c r="C86" s="5"/>
      <c r="D86" s="52" t="s">
        <v>371</v>
      </c>
      <c r="E86" s="9"/>
      <c r="F86" s="10"/>
      <c r="G86" s="12">
        <f>H86+I86</f>
        <v>6794693</v>
      </c>
      <c r="H86" s="13">
        <f t="shared" si="1"/>
        <v>2899293</v>
      </c>
      <c r="I86" s="13">
        <f t="shared" si="1"/>
        <v>3895400</v>
      </c>
      <c r="J86" s="13">
        <f t="shared" si="1"/>
        <v>3895400</v>
      </c>
      <c r="K86" s="34"/>
      <c r="L86" s="34"/>
    </row>
    <row r="87" spans="1:12" s="35" customFormat="1" ht="37.5">
      <c r="A87" s="5" t="s">
        <v>370</v>
      </c>
      <c r="B87" s="5" t="s">
        <v>315</v>
      </c>
      <c r="C87" s="5" t="s">
        <v>96</v>
      </c>
      <c r="D87" s="48" t="s">
        <v>316</v>
      </c>
      <c r="E87" s="9"/>
      <c r="F87" s="10"/>
      <c r="G87" s="12">
        <f>H87+I87</f>
        <v>6794693</v>
      </c>
      <c r="H87" s="13">
        <f>920493+954100+355000+219700+450000</f>
        <v>2899293</v>
      </c>
      <c r="I87" s="13">
        <f>375400+520000+3000000</f>
        <v>3895400</v>
      </c>
      <c r="J87" s="13">
        <f>I87</f>
        <v>3895400</v>
      </c>
      <c r="K87" s="34"/>
      <c r="L87" s="34"/>
    </row>
    <row r="88" spans="1:12" s="35" customFormat="1" ht="75">
      <c r="A88" s="49"/>
      <c r="B88" s="50"/>
      <c r="C88" s="50"/>
      <c r="D88" s="51"/>
      <c r="E88" s="15" t="s">
        <v>286</v>
      </c>
      <c r="F88" s="6" t="s">
        <v>338</v>
      </c>
      <c r="G88" s="7">
        <f aca="true" t="shared" si="2" ref="G88:I89">G89</f>
        <v>8699867</v>
      </c>
      <c r="H88" s="67">
        <f t="shared" si="2"/>
        <v>7939461.54</v>
      </c>
      <c r="I88" s="67">
        <f t="shared" si="2"/>
        <v>760405.46</v>
      </c>
      <c r="J88" s="16"/>
      <c r="K88" s="34"/>
      <c r="L88" s="34"/>
    </row>
    <row r="89" spans="1:12" s="35" customFormat="1" ht="37.5">
      <c r="A89" s="17" t="s">
        <v>121</v>
      </c>
      <c r="B89" s="17"/>
      <c r="C89" s="17"/>
      <c r="D89" s="8" t="s">
        <v>16</v>
      </c>
      <c r="E89" s="9"/>
      <c r="F89" s="10"/>
      <c r="G89" s="12">
        <f t="shared" si="2"/>
        <v>8699867</v>
      </c>
      <c r="H89" s="70">
        <f t="shared" si="2"/>
        <v>7939461.54</v>
      </c>
      <c r="I89" s="70">
        <f t="shared" si="2"/>
        <v>760405.46</v>
      </c>
      <c r="J89" s="13"/>
      <c r="K89" s="34"/>
      <c r="L89" s="34"/>
    </row>
    <row r="90" spans="1:12" s="35" customFormat="1" ht="37.5">
      <c r="A90" s="14" t="s">
        <v>73</v>
      </c>
      <c r="B90" s="14"/>
      <c r="C90" s="14"/>
      <c r="D90" s="9" t="s">
        <v>16</v>
      </c>
      <c r="E90" s="9"/>
      <c r="F90" s="10"/>
      <c r="G90" s="12">
        <f>H90+I90</f>
        <v>8699867</v>
      </c>
      <c r="H90" s="70">
        <f>H93</f>
        <v>7939461.54</v>
      </c>
      <c r="I90" s="70">
        <f>I92</f>
        <v>760405.46</v>
      </c>
      <c r="J90" s="13"/>
      <c r="K90" s="34"/>
      <c r="L90" s="34"/>
    </row>
    <row r="91" spans="1:12" s="35" customFormat="1" ht="18.75">
      <c r="A91" s="49"/>
      <c r="B91" s="50"/>
      <c r="C91" s="50"/>
      <c r="D91" s="51"/>
      <c r="E91" s="9" t="s">
        <v>30</v>
      </c>
      <c r="F91" s="10"/>
      <c r="G91" s="12"/>
      <c r="H91" s="13"/>
      <c r="I91" s="13"/>
      <c r="J91" s="13"/>
      <c r="K91" s="34"/>
      <c r="L91" s="34"/>
    </row>
    <row r="92" spans="1:12" s="35" customFormat="1" ht="177" customHeight="1">
      <c r="A92" s="56" t="s">
        <v>344</v>
      </c>
      <c r="B92" s="51">
        <v>7691</v>
      </c>
      <c r="C92" s="5" t="s">
        <v>11</v>
      </c>
      <c r="D92" s="91" t="s">
        <v>147</v>
      </c>
      <c r="E92" s="9"/>
      <c r="F92" s="10"/>
      <c r="G92" s="69">
        <f>H92+I92</f>
        <v>760405.46</v>
      </c>
      <c r="H92" s="13"/>
      <c r="I92" s="70">
        <v>760405.46</v>
      </c>
      <c r="J92" s="13"/>
      <c r="K92" s="34"/>
      <c r="L92" s="34"/>
    </row>
    <row r="93" spans="1:12" s="35" customFormat="1" ht="51.75" customHeight="1">
      <c r="A93" s="5" t="s">
        <v>74</v>
      </c>
      <c r="B93" s="5" t="s">
        <v>72</v>
      </c>
      <c r="C93" s="5" t="s">
        <v>31</v>
      </c>
      <c r="D93" s="9" t="s">
        <v>112</v>
      </c>
      <c r="E93" s="9"/>
      <c r="F93" s="10"/>
      <c r="G93" s="69">
        <f>H93+I93</f>
        <v>7939461.54</v>
      </c>
      <c r="H93" s="70">
        <f>6807483+1131978.54</f>
        <v>7939461.54</v>
      </c>
      <c r="I93" s="13"/>
      <c r="J93" s="13"/>
      <c r="K93" s="34"/>
      <c r="L93" s="34"/>
    </row>
    <row r="94" spans="1:12" s="35" customFormat="1" ht="75">
      <c r="A94" s="5"/>
      <c r="B94" s="5"/>
      <c r="C94" s="5"/>
      <c r="D94" s="9"/>
      <c r="E94" s="15" t="s">
        <v>278</v>
      </c>
      <c r="F94" s="15" t="s">
        <v>358</v>
      </c>
      <c r="G94" s="7">
        <f>H94+I94</f>
        <v>14250000.000000002</v>
      </c>
      <c r="H94" s="80">
        <f>H95+H99</f>
        <v>3660331.22</v>
      </c>
      <c r="I94" s="80">
        <f>I95+I99</f>
        <v>10589668.780000001</v>
      </c>
      <c r="J94" s="67">
        <f>J95+J99</f>
        <v>10589668.780000001</v>
      </c>
      <c r="K94" s="34"/>
      <c r="L94" s="34"/>
    </row>
    <row r="95" spans="1:12" s="35" customFormat="1" ht="51" customHeight="1">
      <c r="A95" s="17" t="s">
        <v>121</v>
      </c>
      <c r="B95" s="17"/>
      <c r="C95" s="17"/>
      <c r="D95" s="8" t="s">
        <v>16</v>
      </c>
      <c r="E95" s="9"/>
      <c r="F95" s="10"/>
      <c r="G95" s="12">
        <f>H95+I95</f>
        <v>9250000.000000002</v>
      </c>
      <c r="H95" s="72">
        <f>H96</f>
        <v>3660331.22</v>
      </c>
      <c r="I95" s="72">
        <f>I96</f>
        <v>5589668.780000001</v>
      </c>
      <c r="J95" s="70">
        <f>J96</f>
        <v>5589668.780000001</v>
      </c>
      <c r="K95" s="34"/>
      <c r="L95" s="34"/>
    </row>
    <row r="96" spans="1:12" s="35" customFormat="1" ht="55.5" customHeight="1">
      <c r="A96" s="14" t="s">
        <v>73</v>
      </c>
      <c r="B96" s="14"/>
      <c r="C96" s="14"/>
      <c r="D96" s="9" t="s">
        <v>16</v>
      </c>
      <c r="E96" s="9"/>
      <c r="F96" s="10"/>
      <c r="G96" s="12">
        <f>H96+I96</f>
        <v>9250000.000000002</v>
      </c>
      <c r="H96" s="72">
        <f>H98</f>
        <v>3660331.22</v>
      </c>
      <c r="I96" s="72">
        <f>I98</f>
        <v>5589668.780000001</v>
      </c>
      <c r="J96" s="70">
        <f>J98</f>
        <v>5589668.780000001</v>
      </c>
      <c r="K96" s="34"/>
      <c r="L96" s="34"/>
    </row>
    <row r="97" spans="1:12" s="35" customFormat="1" ht="49.5" customHeight="1">
      <c r="A97" s="49"/>
      <c r="B97" s="50"/>
      <c r="C97" s="50"/>
      <c r="D97" s="51"/>
      <c r="E97" s="9" t="s">
        <v>30</v>
      </c>
      <c r="F97" s="10"/>
      <c r="G97" s="12"/>
      <c r="H97" s="13"/>
      <c r="I97" s="13"/>
      <c r="J97" s="13"/>
      <c r="K97" s="34"/>
      <c r="L97" s="34"/>
    </row>
    <row r="98" spans="1:12" s="35" customFormat="1" ht="85.5" customHeight="1">
      <c r="A98" s="5" t="s">
        <v>277</v>
      </c>
      <c r="B98" s="5" t="s">
        <v>275</v>
      </c>
      <c r="C98" s="5" t="s">
        <v>18</v>
      </c>
      <c r="D98" s="52" t="s">
        <v>276</v>
      </c>
      <c r="E98" s="9"/>
      <c r="F98" s="10"/>
      <c r="G98" s="12">
        <f>H98+I98</f>
        <v>9250000.000000002</v>
      </c>
      <c r="H98" s="70">
        <f>1500000+2000000+160331.22</f>
        <v>3660331.22</v>
      </c>
      <c r="I98" s="70">
        <f>5500000+89668.78+5000000-5000000</f>
        <v>5589668.780000001</v>
      </c>
      <c r="J98" s="70">
        <f>I98</f>
        <v>5589668.780000001</v>
      </c>
      <c r="K98" s="34"/>
      <c r="L98" s="34"/>
    </row>
    <row r="99" spans="1:12" s="35" customFormat="1" ht="74.25" customHeight="1">
      <c r="A99" s="19" t="s">
        <v>55</v>
      </c>
      <c r="B99" s="5"/>
      <c r="C99" s="5"/>
      <c r="D99" s="85" t="s">
        <v>371</v>
      </c>
      <c r="E99" s="9"/>
      <c r="F99" s="10"/>
      <c r="G99" s="12">
        <f>H99+I99</f>
        <v>5000000</v>
      </c>
      <c r="H99" s="89">
        <f>H100</f>
        <v>0</v>
      </c>
      <c r="I99" s="13">
        <f>I100</f>
        <v>5000000</v>
      </c>
      <c r="J99" s="13">
        <f>J100</f>
        <v>5000000</v>
      </c>
      <c r="K99" s="34"/>
      <c r="L99" s="34"/>
    </row>
    <row r="100" spans="1:12" s="35" customFormat="1" ht="74.25" customHeight="1">
      <c r="A100" s="5" t="s">
        <v>61</v>
      </c>
      <c r="B100" s="5" t="s">
        <v>275</v>
      </c>
      <c r="C100" s="5" t="s">
        <v>18</v>
      </c>
      <c r="D100" s="52" t="s">
        <v>371</v>
      </c>
      <c r="E100" s="9"/>
      <c r="F100" s="10"/>
      <c r="G100" s="12">
        <f>H100+I100</f>
        <v>5000000</v>
      </c>
      <c r="H100" s="89">
        <f>H102</f>
        <v>0</v>
      </c>
      <c r="I100" s="13">
        <f>I102</f>
        <v>5000000</v>
      </c>
      <c r="J100" s="13">
        <f>J102</f>
        <v>5000000</v>
      </c>
      <c r="K100" s="34"/>
      <c r="L100" s="34"/>
    </row>
    <row r="101" spans="1:12" s="35" customFormat="1" ht="74.25" customHeight="1">
      <c r="A101" s="5"/>
      <c r="B101" s="5"/>
      <c r="C101" s="5"/>
      <c r="D101" s="52"/>
      <c r="E101" s="9" t="s">
        <v>30</v>
      </c>
      <c r="F101" s="10"/>
      <c r="G101" s="12"/>
      <c r="H101" s="89"/>
      <c r="I101" s="13"/>
      <c r="J101" s="13"/>
      <c r="K101" s="34"/>
      <c r="L101" s="34"/>
    </row>
    <row r="102" spans="1:12" s="35" customFormat="1" ht="90" customHeight="1">
      <c r="A102" s="5" t="s">
        <v>350</v>
      </c>
      <c r="B102" s="5" t="s">
        <v>275</v>
      </c>
      <c r="C102" s="5" t="s">
        <v>18</v>
      </c>
      <c r="D102" s="52" t="s">
        <v>276</v>
      </c>
      <c r="E102" s="9"/>
      <c r="F102" s="10"/>
      <c r="G102" s="12">
        <f>H102+I102</f>
        <v>5000000</v>
      </c>
      <c r="H102" s="89">
        <v>0</v>
      </c>
      <c r="I102" s="13">
        <v>5000000</v>
      </c>
      <c r="J102" s="13">
        <f>I102</f>
        <v>5000000</v>
      </c>
      <c r="K102" s="34"/>
      <c r="L102" s="34"/>
    </row>
    <row r="103" spans="1:12" s="35" customFormat="1" ht="85.5" customHeight="1">
      <c r="A103" s="5"/>
      <c r="B103" s="5"/>
      <c r="C103" s="5"/>
      <c r="D103" s="52"/>
      <c r="E103" s="15" t="s">
        <v>356</v>
      </c>
      <c r="F103" s="6" t="s">
        <v>361</v>
      </c>
      <c r="G103" s="7">
        <f>G104</f>
        <v>199000</v>
      </c>
      <c r="H103" s="7">
        <f>H104</f>
        <v>199000</v>
      </c>
      <c r="I103" s="13"/>
      <c r="J103" s="13"/>
      <c r="K103" s="34"/>
      <c r="L103" s="34"/>
    </row>
    <row r="104" spans="1:12" s="35" customFormat="1" ht="57.75" customHeight="1">
      <c r="A104" s="17" t="s">
        <v>121</v>
      </c>
      <c r="B104" s="17"/>
      <c r="C104" s="17"/>
      <c r="D104" s="8" t="s">
        <v>16</v>
      </c>
      <c r="E104" s="9"/>
      <c r="F104" s="10"/>
      <c r="G104" s="12">
        <f>H104+I104</f>
        <v>199000</v>
      </c>
      <c r="H104" s="13">
        <f>H105</f>
        <v>199000</v>
      </c>
      <c r="I104" s="13"/>
      <c r="J104" s="13"/>
      <c r="K104" s="34"/>
      <c r="L104" s="34"/>
    </row>
    <row r="105" spans="1:12" s="35" customFormat="1" ht="59.25" customHeight="1">
      <c r="A105" s="14" t="s">
        <v>73</v>
      </c>
      <c r="B105" s="14"/>
      <c r="C105" s="14"/>
      <c r="D105" s="9" t="s">
        <v>16</v>
      </c>
      <c r="E105" s="9"/>
      <c r="F105" s="10"/>
      <c r="G105" s="12">
        <f>H105+I105</f>
        <v>199000</v>
      </c>
      <c r="H105" s="13">
        <f>H107</f>
        <v>199000</v>
      </c>
      <c r="I105" s="13"/>
      <c r="J105" s="13"/>
      <c r="K105" s="34"/>
      <c r="L105" s="34"/>
    </row>
    <row r="106" spans="1:12" s="35" customFormat="1" ht="49.5" customHeight="1">
      <c r="A106" s="49"/>
      <c r="B106" s="50"/>
      <c r="C106" s="50"/>
      <c r="D106" s="51"/>
      <c r="E106" s="9" t="s">
        <v>30</v>
      </c>
      <c r="F106" s="10"/>
      <c r="G106" s="12"/>
      <c r="H106" s="13"/>
      <c r="I106" s="13"/>
      <c r="J106" s="13"/>
      <c r="K106" s="34"/>
      <c r="L106" s="34"/>
    </row>
    <row r="107" spans="1:12" s="35" customFormat="1" ht="91.5" customHeight="1">
      <c r="A107" s="5" t="s">
        <v>277</v>
      </c>
      <c r="B107" s="5" t="s">
        <v>275</v>
      </c>
      <c r="C107" s="5" t="s">
        <v>18</v>
      </c>
      <c r="D107" s="52" t="s">
        <v>276</v>
      </c>
      <c r="E107" s="9"/>
      <c r="F107" s="10"/>
      <c r="G107" s="12">
        <f>H107+I107</f>
        <v>199000</v>
      </c>
      <c r="H107" s="13">
        <v>199000</v>
      </c>
      <c r="I107" s="13"/>
      <c r="J107" s="13"/>
      <c r="K107" s="34"/>
      <c r="L107" s="34"/>
    </row>
    <row r="108" spans="1:12" s="35" customFormat="1" ht="49.5" customHeight="1">
      <c r="A108" s="5"/>
      <c r="B108" s="11"/>
      <c r="C108" s="11"/>
      <c r="D108" s="10"/>
      <c r="E108" s="8" t="s">
        <v>287</v>
      </c>
      <c r="F108" s="6" t="s">
        <v>196</v>
      </c>
      <c r="G108" s="7">
        <f>G109</f>
        <v>45413388</v>
      </c>
      <c r="H108" s="7">
        <f aca="true" t="shared" si="3" ref="H108:J109">H109</f>
        <v>17107934</v>
      </c>
      <c r="I108" s="7">
        <f t="shared" si="3"/>
        <v>28305454</v>
      </c>
      <c r="J108" s="7">
        <f t="shared" si="3"/>
        <v>28305454</v>
      </c>
      <c r="K108" s="37"/>
      <c r="L108" s="38"/>
    </row>
    <row r="109" spans="1:12" s="35" customFormat="1" ht="49.5" customHeight="1">
      <c r="A109" s="19" t="s">
        <v>259</v>
      </c>
      <c r="B109" s="55"/>
      <c r="C109" s="55"/>
      <c r="D109" s="8" t="s">
        <v>0</v>
      </c>
      <c r="E109" s="6"/>
      <c r="F109" s="6"/>
      <c r="G109" s="12">
        <f>G110</f>
        <v>45413388</v>
      </c>
      <c r="H109" s="12">
        <f t="shared" si="3"/>
        <v>17107934</v>
      </c>
      <c r="I109" s="12">
        <f t="shared" si="3"/>
        <v>28305454</v>
      </c>
      <c r="J109" s="12">
        <f t="shared" si="3"/>
        <v>28305454</v>
      </c>
      <c r="K109" s="34"/>
      <c r="L109" s="34"/>
    </row>
    <row r="110" spans="1:12" s="35" customFormat="1" ht="41.25" customHeight="1">
      <c r="A110" s="5" t="s">
        <v>78</v>
      </c>
      <c r="B110" s="11"/>
      <c r="C110" s="11"/>
      <c r="D110" s="9" t="s">
        <v>0</v>
      </c>
      <c r="E110" s="10"/>
      <c r="F110" s="10"/>
      <c r="G110" s="12">
        <f>H110+I110</f>
        <v>45413388</v>
      </c>
      <c r="H110" s="12">
        <f>SUM(H112:H122)</f>
        <v>17107934</v>
      </c>
      <c r="I110" s="12">
        <f>SUM(I112:I122)</f>
        <v>28305454</v>
      </c>
      <c r="J110" s="12">
        <f>SUM(J112:J122)</f>
        <v>28305454</v>
      </c>
      <c r="K110" s="34"/>
      <c r="L110" s="34"/>
    </row>
    <row r="111" spans="1:12" s="35" customFormat="1" ht="34.5" customHeight="1">
      <c r="A111" s="5"/>
      <c r="B111" s="11"/>
      <c r="C111" s="11"/>
      <c r="D111" s="9"/>
      <c r="E111" s="47" t="s">
        <v>30</v>
      </c>
      <c r="F111" s="10"/>
      <c r="G111" s="12"/>
      <c r="H111" s="12"/>
      <c r="I111" s="12"/>
      <c r="J111" s="12"/>
      <c r="K111" s="34"/>
      <c r="L111" s="34"/>
    </row>
    <row r="112" spans="1:12" s="35" customFormat="1" ht="49.5" customHeight="1">
      <c r="A112" s="5" t="s">
        <v>79</v>
      </c>
      <c r="B112" s="5" t="s">
        <v>32</v>
      </c>
      <c r="C112" s="5" t="s">
        <v>3</v>
      </c>
      <c r="D112" s="9" t="s">
        <v>80</v>
      </c>
      <c r="E112" s="10"/>
      <c r="F112" s="10"/>
      <c r="G112" s="12">
        <f aca="true" t="shared" si="4" ref="G112:G121">H112+I112</f>
        <v>5908078</v>
      </c>
      <c r="H112" s="12">
        <f>140000+472638+96150+12585386+26322+549598-3678220-1762337-458842-96150-199000-1767467</f>
        <v>5908078</v>
      </c>
      <c r="I112" s="96">
        <f>300000+5760600-6060600</f>
        <v>0</v>
      </c>
      <c r="J112" s="96">
        <f>I112</f>
        <v>0</v>
      </c>
      <c r="K112" s="34"/>
      <c r="L112" s="34"/>
    </row>
    <row r="113" spans="1:12" s="35" customFormat="1" ht="58.5" customHeight="1">
      <c r="A113" s="14" t="s">
        <v>210</v>
      </c>
      <c r="B113" s="97">
        <v>1021</v>
      </c>
      <c r="C113" s="14" t="s">
        <v>4</v>
      </c>
      <c r="D113" s="98" t="s">
        <v>342</v>
      </c>
      <c r="E113" s="10"/>
      <c r="F113" s="10"/>
      <c r="G113" s="12">
        <f t="shared" si="4"/>
        <v>16563413</v>
      </c>
      <c r="H113" s="12">
        <f>55000+667450+198637+19524204+114875+13750+52644-445100+710843-488179-3248476-2156705-2326358-63000-40000-40000-1717700-164643-8000-3390091-2592-5000</f>
        <v>7241559</v>
      </c>
      <c r="I113" s="12">
        <f>87500+800000-700000+2400000+63000+60000+9050000+65000+2796354-5300000</f>
        <v>9321854</v>
      </c>
      <c r="J113" s="12">
        <f>I113</f>
        <v>9321854</v>
      </c>
      <c r="K113" s="34"/>
      <c r="L113" s="34"/>
    </row>
    <row r="114" spans="1:12" s="35" customFormat="1" ht="63.75" customHeight="1">
      <c r="A114" s="99" t="s">
        <v>219</v>
      </c>
      <c r="B114" s="100">
        <v>1031</v>
      </c>
      <c r="C114" s="99" t="s">
        <v>4</v>
      </c>
      <c r="D114" s="98" t="s">
        <v>343</v>
      </c>
      <c r="E114" s="10"/>
      <c r="F114" s="10"/>
      <c r="G114" s="12">
        <f t="shared" si="4"/>
        <v>457844</v>
      </c>
      <c r="H114" s="12">
        <v>457844</v>
      </c>
      <c r="I114" s="12"/>
      <c r="J114" s="12"/>
      <c r="K114" s="34"/>
      <c r="L114" s="34"/>
    </row>
    <row r="115" spans="1:12" s="35" customFormat="1" ht="49.5" customHeight="1" hidden="1">
      <c r="A115" s="14" t="s">
        <v>274</v>
      </c>
      <c r="B115" s="97">
        <v>1061</v>
      </c>
      <c r="C115" s="14" t="s">
        <v>4</v>
      </c>
      <c r="D115" s="101" t="s">
        <v>211</v>
      </c>
      <c r="E115" s="10"/>
      <c r="F115" s="10"/>
      <c r="G115" s="12">
        <f t="shared" si="4"/>
        <v>0</v>
      </c>
      <c r="H115" s="12"/>
      <c r="I115" s="12"/>
      <c r="J115" s="12">
        <f>I115</f>
        <v>0</v>
      </c>
      <c r="K115" s="34"/>
      <c r="L115" s="34"/>
    </row>
    <row r="116" spans="1:12" s="35" customFormat="1" ht="69.75" customHeight="1">
      <c r="A116" s="14" t="s">
        <v>212</v>
      </c>
      <c r="B116" s="97">
        <v>1070</v>
      </c>
      <c r="C116" s="14" t="s">
        <v>5</v>
      </c>
      <c r="D116" s="101" t="s">
        <v>206</v>
      </c>
      <c r="E116" s="10"/>
      <c r="F116" s="10"/>
      <c r="G116" s="12">
        <f>H116+I116</f>
        <v>368165</v>
      </c>
      <c r="H116" s="12">
        <f>21000+124231+13970+67284-1320</f>
        <v>225165</v>
      </c>
      <c r="I116" s="12">
        <f>75000+8000+60000</f>
        <v>143000</v>
      </c>
      <c r="J116" s="12">
        <f>I116</f>
        <v>143000</v>
      </c>
      <c r="K116" s="34"/>
      <c r="L116" s="34"/>
    </row>
    <row r="117" spans="1:12" s="35" customFormat="1" ht="49.5" customHeight="1" hidden="1">
      <c r="A117" s="14" t="s">
        <v>218</v>
      </c>
      <c r="B117" s="97">
        <v>1141</v>
      </c>
      <c r="C117" s="14" t="s">
        <v>6</v>
      </c>
      <c r="D117" s="101" t="s">
        <v>145</v>
      </c>
      <c r="E117" s="10"/>
      <c r="F117" s="10"/>
      <c r="G117" s="12">
        <f t="shared" si="4"/>
        <v>0</v>
      </c>
      <c r="H117" s="12"/>
      <c r="I117" s="12"/>
      <c r="J117" s="12"/>
      <c r="K117" s="34"/>
      <c r="L117" s="34"/>
    </row>
    <row r="118" spans="1:12" s="35" customFormat="1" ht="35.25" customHeight="1">
      <c r="A118" s="14" t="s">
        <v>213</v>
      </c>
      <c r="B118" s="97">
        <v>1142</v>
      </c>
      <c r="C118" s="14" t="s">
        <v>6</v>
      </c>
      <c r="D118" s="101" t="s">
        <v>146</v>
      </c>
      <c r="E118" s="10"/>
      <c r="F118" s="10"/>
      <c r="G118" s="12">
        <f t="shared" si="4"/>
        <v>2307296</v>
      </c>
      <c r="H118" s="12">
        <f>390330+3067318-564420-585932</f>
        <v>2307296</v>
      </c>
      <c r="I118" s="12"/>
      <c r="J118" s="12"/>
      <c r="K118" s="34"/>
      <c r="L118" s="34"/>
    </row>
    <row r="119" spans="1:12" s="35" customFormat="1" ht="58.5" customHeight="1">
      <c r="A119" s="14" t="s">
        <v>214</v>
      </c>
      <c r="B119" s="97">
        <v>1151</v>
      </c>
      <c r="C119" s="14" t="s">
        <v>6</v>
      </c>
      <c r="D119" s="101" t="s">
        <v>215</v>
      </c>
      <c r="E119" s="10"/>
      <c r="F119" s="10"/>
      <c r="G119" s="12">
        <f t="shared" si="4"/>
        <v>21984</v>
      </c>
      <c r="H119" s="12">
        <f>17000+4984</f>
        <v>21984</v>
      </c>
      <c r="I119" s="12"/>
      <c r="J119" s="12"/>
      <c r="K119" s="34"/>
      <c r="L119" s="34"/>
    </row>
    <row r="120" spans="1:12" s="35" customFormat="1" ht="60.75" customHeight="1">
      <c r="A120" s="14" t="s">
        <v>216</v>
      </c>
      <c r="B120" s="97">
        <v>1152</v>
      </c>
      <c r="C120" s="14" t="s">
        <v>6</v>
      </c>
      <c r="D120" s="102" t="s">
        <v>217</v>
      </c>
      <c r="E120" s="10"/>
      <c r="F120" s="10"/>
      <c r="G120" s="12">
        <f t="shared" si="4"/>
        <v>79758</v>
      </c>
      <c r="H120" s="12">
        <v>79758</v>
      </c>
      <c r="I120" s="12"/>
      <c r="J120" s="12"/>
      <c r="K120" s="34"/>
      <c r="L120" s="34"/>
    </row>
    <row r="121" spans="1:12" s="35" customFormat="1" ht="107.25" customHeight="1">
      <c r="A121" s="56" t="s">
        <v>81</v>
      </c>
      <c r="B121" s="51">
        <v>3140</v>
      </c>
      <c r="C121" s="56" t="s">
        <v>33</v>
      </c>
      <c r="D121" s="9" t="s">
        <v>34</v>
      </c>
      <c r="E121" s="10"/>
      <c r="F121" s="10"/>
      <c r="G121" s="12">
        <f t="shared" si="4"/>
        <v>866250</v>
      </c>
      <c r="H121" s="12">
        <f>1566040-699790</f>
        <v>866250</v>
      </c>
      <c r="I121" s="12"/>
      <c r="J121" s="12"/>
      <c r="K121" s="34"/>
      <c r="L121" s="34"/>
    </row>
    <row r="122" spans="1:12" s="35" customFormat="1" ht="107.25" customHeight="1">
      <c r="A122" s="56" t="s">
        <v>382</v>
      </c>
      <c r="B122" s="51">
        <v>7372</v>
      </c>
      <c r="C122" s="56" t="s">
        <v>11</v>
      </c>
      <c r="D122" s="9" t="s">
        <v>381</v>
      </c>
      <c r="E122" s="10"/>
      <c r="F122" s="10"/>
      <c r="G122" s="12">
        <f>H122+I122</f>
        <v>18840600</v>
      </c>
      <c r="H122" s="12"/>
      <c r="I122" s="12">
        <f>14240600+4600000</f>
        <v>18840600</v>
      </c>
      <c r="J122" s="12">
        <f>I122</f>
        <v>18840600</v>
      </c>
      <c r="K122" s="34"/>
      <c r="L122" s="34"/>
    </row>
    <row r="123" spans="1:13" s="35" customFormat="1" ht="49.5" customHeight="1">
      <c r="A123" s="5"/>
      <c r="B123" s="11"/>
      <c r="C123" s="11"/>
      <c r="D123" s="9"/>
      <c r="E123" s="15" t="s">
        <v>302</v>
      </c>
      <c r="F123" s="6" t="s">
        <v>303</v>
      </c>
      <c r="G123" s="7">
        <f>H123+I123</f>
        <v>86948676</v>
      </c>
      <c r="H123" s="7">
        <f>H124+H133</f>
        <v>48468823</v>
      </c>
      <c r="I123" s="7">
        <f>I124+I133</f>
        <v>38479853</v>
      </c>
      <c r="J123" s="7">
        <f>J125+J133</f>
        <v>38479853</v>
      </c>
      <c r="K123" s="37"/>
      <c r="L123" s="38"/>
      <c r="M123" s="84"/>
    </row>
    <row r="124" spans="1:12" s="35" customFormat="1" ht="49.5" customHeight="1">
      <c r="A124" s="19" t="s">
        <v>51</v>
      </c>
      <c r="B124" s="55"/>
      <c r="C124" s="55"/>
      <c r="D124" s="15" t="s">
        <v>21</v>
      </c>
      <c r="E124" s="15"/>
      <c r="F124" s="6"/>
      <c r="G124" s="12">
        <f aca="true" t="shared" si="5" ref="G124:G132">H124+I124</f>
        <v>86948676</v>
      </c>
      <c r="H124" s="12">
        <f>H125</f>
        <v>48468823</v>
      </c>
      <c r="I124" s="12">
        <f>I125</f>
        <v>38479853</v>
      </c>
      <c r="J124" s="12">
        <f>J125</f>
        <v>38479853</v>
      </c>
      <c r="K124" s="34"/>
      <c r="L124" s="34"/>
    </row>
    <row r="125" spans="1:12" s="35" customFormat="1" ht="49.5" customHeight="1">
      <c r="A125" s="5" t="s">
        <v>52</v>
      </c>
      <c r="B125" s="11"/>
      <c r="C125" s="11"/>
      <c r="D125" s="47" t="s">
        <v>21</v>
      </c>
      <c r="E125" s="9"/>
      <c r="F125" s="10"/>
      <c r="G125" s="12">
        <f>SUM(G127:G132)</f>
        <v>86948676</v>
      </c>
      <c r="H125" s="12">
        <f>SUM(H127:H132)</f>
        <v>48468823</v>
      </c>
      <c r="I125" s="12">
        <f>SUM(I127:I132)</f>
        <v>38479853</v>
      </c>
      <c r="J125" s="12">
        <f>SUM(J127:J132)</f>
        <v>38479853</v>
      </c>
      <c r="K125" s="34"/>
      <c r="L125" s="34"/>
    </row>
    <row r="126" spans="1:12" s="35" customFormat="1" ht="25.5" customHeight="1">
      <c r="A126" s="5"/>
      <c r="B126" s="11"/>
      <c r="C126" s="11"/>
      <c r="D126" s="9"/>
      <c r="E126" s="9" t="s">
        <v>30</v>
      </c>
      <c r="F126" s="10"/>
      <c r="G126" s="12"/>
      <c r="H126" s="13"/>
      <c r="I126" s="13"/>
      <c r="J126" s="13"/>
      <c r="K126" s="34"/>
      <c r="L126" s="34"/>
    </row>
    <row r="127" spans="1:12" s="35" customFormat="1" ht="49.5" customHeight="1">
      <c r="A127" s="5" t="s">
        <v>53</v>
      </c>
      <c r="B127" s="5" t="s">
        <v>23</v>
      </c>
      <c r="C127" s="5" t="s">
        <v>9</v>
      </c>
      <c r="D127" s="9" t="s">
        <v>22</v>
      </c>
      <c r="E127" s="15"/>
      <c r="F127" s="6"/>
      <c r="G127" s="12">
        <f t="shared" si="5"/>
        <v>57396278</v>
      </c>
      <c r="H127" s="13">
        <f>34907217+82500-1552529+1300000-2517960+282000+405000+2184017</f>
        <v>35090245</v>
      </c>
      <c r="I127" s="13">
        <f>7500000+207757+100000+1552529+9501310+400000+200000+65000+1990197-479924+492000+360000+417164</f>
        <v>22306033</v>
      </c>
      <c r="J127" s="13">
        <f>I127</f>
        <v>22306033</v>
      </c>
      <c r="K127" s="34"/>
      <c r="L127" s="34"/>
    </row>
    <row r="128" spans="1:12" s="35" customFormat="1" ht="81.75" customHeight="1">
      <c r="A128" s="5" t="s">
        <v>105</v>
      </c>
      <c r="B128" s="5" t="s">
        <v>54</v>
      </c>
      <c r="C128" s="5" t="s">
        <v>133</v>
      </c>
      <c r="D128" s="9" t="s">
        <v>106</v>
      </c>
      <c r="E128" s="15"/>
      <c r="F128" s="6"/>
      <c r="G128" s="12">
        <f t="shared" si="5"/>
        <v>13316898</v>
      </c>
      <c r="H128" s="13">
        <f>13370972-1570000-82500+160000+43200+88000+11000+18886+59630+291700+38010+100000+698000</f>
        <v>13226898</v>
      </c>
      <c r="I128" s="13">
        <f>2000000+90000-2000000</f>
        <v>90000</v>
      </c>
      <c r="J128" s="13">
        <f>I128</f>
        <v>90000</v>
      </c>
      <c r="K128" s="34"/>
      <c r="L128" s="34"/>
    </row>
    <row r="129" spans="1:12" s="35" customFormat="1" ht="49.5" customHeight="1">
      <c r="A129" s="5" t="s">
        <v>198</v>
      </c>
      <c r="B129" s="5" t="s">
        <v>199</v>
      </c>
      <c r="C129" s="5" t="s">
        <v>177</v>
      </c>
      <c r="D129" s="9" t="s">
        <v>200</v>
      </c>
      <c r="E129" s="15"/>
      <c r="F129" s="6"/>
      <c r="G129" s="12">
        <f t="shared" si="5"/>
        <v>1680</v>
      </c>
      <c r="H129" s="13">
        <f>127144-125464</f>
        <v>1680</v>
      </c>
      <c r="I129" s="13"/>
      <c r="J129" s="13"/>
      <c r="K129" s="34"/>
      <c r="L129" s="34"/>
    </row>
    <row r="130" spans="1:12" s="35" customFormat="1" ht="38.25" customHeight="1">
      <c r="A130" s="5" t="s">
        <v>352</v>
      </c>
      <c r="B130" s="5" t="s">
        <v>272</v>
      </c>
      <c r="C130" s="5" t="s">
        <v>14</v>
      </c>
      <c r="D130" s="9" t="s">
        <v>273</v>
      </c>
      <c r="E130" s="15"/>
      <c r="F130" s="6"/>
      <c r="G130" s="12">
        <f>H130+I130</f>
        <v>1083820</v>
      </c>
      <c r="H130" s="13"/>
      <c r="I130" s="13">
        <f>83820+1000000</f>
        <v>1083820</v>
      </c>
      <c r="J130" s="13">
        <f>I130</f>
        <v>1083820</v>
      </c>
      <c r="K130" s="34"/>
      <c r="L130" s="34"/>
    </row>
    <row r="131" spans="1:10" s="34" customFormat="1" ht="49.5" customHeight="1">
      <c r="A131" s="5" t="s">
        <v>368</v>
      </c>
      <c r="B131" s="103">
        <v>9750</v>
      </c>
      <c r="C131" s="93" t="s">
        <v>18</v>
      </c>
      <c r="D131" s="104" t="s">
        <v>369</v>
      </c>
      <c r="E131" s="15"/>
      <c r="F131" s="6"/>
      <c r="G131" s="12">
        <f>H131+I131</f>
        <v>15000000</v>
      </c>
      <c r="H131" s="13"/>
      <c r="I131" s="13">
        <v>15000000</v>
      </c>
      <c r="J131" s="13">
        <f>I131</f>
        <v>15000000</v>
      </c>
    </row>
    <row r="132" spans="1:12" s="35" customFormat="1" ht="37.5" customHeight="1">
      <c r="A132" s="5" t="s">
        <v>351</v>
      </c>
      <c r="B132" s="5" t="s">
        <v>93</v>
      </c>
      <c r="C132" s="5" t="s">
        <v>18</v>
      </c>
      <c r="D132" s="52" t="s">
        <v>132</v>
      </c>
      <c r="E132" s="15"/>
      <c r="F132" s="6"/>
      <c r="G132" s="12">
        <f t="shared" si="5"/>
        <v>150000</v>
      </c>
      <c r="H132" s="13">
        <v>150000</v>
      </c>
      <c r="I132" s="13"/>
      <c r="J132" s="13"/>
      <c r="K132" s="34"/>
      <c r="L132" s="34"/>
    </row>
    <row r="133" spans="1:12" s="35" customFormat="1" ht="95.25" customHeight="1" hidden="1">
      <c r="A133" s="19" t="s">
        <v>84</v>
      </c>
      <c r="B133" s="11"/>
      <c r="C133" s="11"/>
      <c r="D133" s="15" t="s">
        <v>49</v>
      </c>
      <c r="E133" s="52"/>
      <c r="F133" s="6"/>
      <c r="G133" s="12">
        <f>G134</f>
        <v>0</v>
      </c>
      <c r="H133" s="13"/>
      <c r="I133" s="13">
        <f>I134</f>
        <v>0</v>
      </c>
      <c r="J133" s="13">
        <f>J134</f>
        <v>0</v>
      </c>
      <c r="K133" s="34"/>
      <c r="L133" s="34"/>
    </row>
    <row r="134" spans="1:12" s="35" customFormat="1" ht="74.25" customHeight="1" hidden="1">
      <c r="A134" s="5" t="s">
        <v>270</v>
      </c>
      <c r="B134" s="11"/>
      <c r="C134" s="11"/>
      <c r="D134" s="9" t="s">
        <v>49</v>
      </c>
      <c r="E134" s="52"/>
      <c r="F134" s="6"/>
      <c r="G134" s="12">
        <f>H134+I134</f>
        <v>0</v>
      </c>
      <c r="H134" s="13"/>
      <c r="I134" s="13">
        <f>500000-500000</f>
        <v>0</v>
      </c>
      <c r="J134" s="13">
        <f>I134</f>
        <v>0</v>
      </c>
      <c r="K134" s="34"/>
      <c r="L134" s="34"/>
    </row>
    <row r="135" spans="1:12" s="35" customFormat="1" ht="26.25" customHeight="1" hidden="1">
      <c r="A135" s="5"/>
      <c r="B135" s="5"/>
      <c r="C135" s="5"/>
      <c r="D135" s="9"/>
      <c r="E135" s="9" t="s">
        <v>30</v>
      </c>
      <c r="F135" s="6"/>
      <c r="G135" s="12"/>
      <c r="H135" s="13"/>
      <c r="I135" s="13"/>
      <c r="J135" s="13"/>
      <c r="K135" s="34"/>
      <c r="L135" s="34"/>
    </row>
    <row r="136" spans="1:12" s="35" customFormat="1" ht="49.5" customHeight="1" hidden="1">
      <c r="A136" s="5" t="s">
        <v>271</v>
      </c>
      <c r="B136" s="5" t="s">
        <v>272</v>
      </c>
      <c r="C136" s="5" t="s">
        <v>14</v>
      </c>
      <c r="D136" s="9" t="s">
        <v>273</v>
      </c>
      <c r="E136" s="15"/>
      <c r="F136" s="6"/>
      <c r="G136" s="12">
        <f>H136+I136</f>
        <v>0</v>
      </c>
      <c r="H136" s="13"/>
      <c r="I136" s="13">
        <f>500000-500000</f>
        <v>0</v>
      </c>
      <c r="J136" s="13">
        <f>I136</f>
        <v>0</v>
      </c>
      <c r="K136" s="34"/>
      <c r="L136" s="34"/>
    </row>
    <row r="137" spans="1:12" s="35" customFormat="1" ht="49.5" customHeight="1">
      <c r="A137" s="5"/>
      <c r="B137" s="5"/>
      <c r="C137" s="5"/>
      <c r="D137" s="9"/>
      <c r="E137" s="15" t="s">
        <v>288</v>
      </c>
      <c r="F137" s="6" t="s">
        <v>232</v>
      </c>
      <c r="G137" s="16">
        <f>G138+G142+G146</f>
        <v>260000</v>
      </c>
      <c r="H137" s="16">
        <f>H138+H142+H146</f>
        <v>260000</v>
      </c>
      <c r="I137" s="13"/>
      <c r="J137" s="13"/>
      <c r="K137" s="34"/>
      <c r="L137" s="34"/>
    </row>
    <row r="138" spans="1:12" s="35" customFormat="1" ht="51.75" customHeight="1">
      <c r="A138" s="19" t="s">
        <v>121</v>
      </c>
      <c r="B138" s="5"/>
      <c r="C138" s="5"/>
      <c r="D138" s="15" t="s">
        <v>16</v>
      </c>
      <c r="E138" s="9"/>
      <c r="F138" s="6"/>
      <c r="G138" s="12">
        <f>G139</f>
        <v>10000</v>
      </c>
      <c r="H138" s="13">
        <f>H139</f>
        <v>10000</v>
      </c>
      <c r="I138" s="13"/>
      <c r="J138" s="13"/>
      <c r="K138" s="34"/>
      <c r="L138" s="34"/>
    </row>
    <row r="139" spans="1:12" s="35" customFormat="1" ht="44.25" customHeight="1">
      <c r="A139" s="5" t="s">
        <v>73</v>
      </c>
      <c r="B139" s="5"/>
      <c r="C139" s="5"/>
      <c r="D139" s="9" t="s">
        <v>16</v>
      </c>
      <c r="E139" s="9"/>
      <c r="F139" s="6"/>
      <c r="G139" s="12">
        <f>H139+I139</f>
        <v>10000</v>
      </c>
      <c r="H139" s="13">
        <f>H141</f>
        <v>10000</v>
      </c>
      <c r="I139" s="13"/>
      <c r="J139" s="13"/>
      <c r="K139" s="34"/>
      <c r="L139" s="34"/>
    </row>
    <row r="140" spans="1:12" s="35" customFormat="1" ht="38.25" customHeight="1">
      <c r="A140" s="5"/>
      <c r="B140" s="5"/>
      <c r="C140" s="5"/>
      <c r="D140" s="9"/>
      <c r="E140" s="9" t="s">
        <v>30</v>
      </c>
      <c r="F140" s="6"/>
      <c r="G140" s="12"/>
      <c r="H140" s="13"/>
      <c r="I140" s="13"/>
      <c r="J140" s="13"/>
      <c r="K140" s="34"/>
      <c r="L140" s="34"/>
    </row>
    <row r="141" spans="1:12" s="35" customFormat="1" ht="51" customHeight="1">
      <c r="A141" s="5" t="s">
        <v>160</v>
      </c>
      <c r="B141" s="5" t="s">
        <v>18</v>
      </c>
      <c r="C141" s="5" t="s">
        <v>162</v>
      </c>
      <c r="D141" s="9" t="s">
        <v>161</v>
      </c>
      <c r="E141" s="9"/>
      <c r="F141" s="6"/>
      <c r="G141" s="12">
        <f>H141+I141</f>
        <v>10000</v>
      </c>
      <c r="H141" s="13">
        <v>10000</v>
      </c>
      <c r="I141" s="13"/>
      <c r="J141" s="13"/>
      <c r="K141" s="34"/>
      <c r="L141" s="34"/>
    </row>
    <row r="142" spans="1:12" s="35" customFormat="1" ht="70.5" customHeight="1">
      <c r="A142" s="19" t="s">
        <v>59</v>
      </c>
      <c r="B142" s="5"/>
      <c r="C142" s="5"/>
      <c r="D142" s="15" t="s">
        <v>19</v>
      </c>
      <c r="E142" s="9"/>
      <c r="F142" s="6"/>
      <c r="G142" s="12">
        <f>G143</f>
        <v>200000</v>
      </c>
      <c r="H142" s="13">
        <f>H143</f>
        <v>200000</v>
      </c>
      <c r="I142" s="13"/>
      <c r="J142" s="13"/>
      <c r="K142" s="34"/>
      <c r="L142" s="34"/>
    </row>
    <row r="143" spans="1:12" s="35" customFormat="1" ht="54.75" customHeight="1">
      <c r="A143" s="5" t="s">
        <v>60</v>
      </c>
      <c r="B143" s="5"/>
      <c r="C143" s="5"/>
      <c r="D143" s="9" t="s">
        <v>19</v>
      </c>
      <c r="E143" s="9"/>
      <c r="F143" s="6"/>
      <c r="G143" s="12">
        <f>H143+I143</f>
        <v>200000</v>
      </c>
      <c r="H143" s="13">
        <f>H145</f>
        <v>200000</v>
      </c>
      <c r="I143" s="13"/>
      <c r="J143" s="13"/>
      <c r="K143" s="34"/>
      <c r="L143" s="34"/>
    </row>
    <row r="144" spans="1:12" s="35" customFormat="1" ht="32.25" customHeight="1">
      <c r="A144" s="5"/>
      <c r="B144" s="5"/>
      <c r="C144" s="5"/>
      <c r="D144" s="9"/>
      <c r="E144" s="9" t="s">
        <v>30</v>
      </c>
      <c r="F144" s="6"/>
      <c r="G144" s="12"/>
      <c r="H144" s="13"/>
      <c r="I144" s="13"/>
      <c r="J144" s="13"/>
      <c r="K144" s="34"/>
      <c r="L144" s="34"/>
    </row>
    <row r="145" spans="1:12" s="35" customFormat="1" ht="49.5" customHeight="1">
      <c r="A145" s="5" t="s">
        <v>229</v>
      </c>
      <c r="B145" s="5" t="s">
        <v>18</v>
      </c>
      <c r="C145" s="5" t="s">
        <v>162</v>
      </c>
      <c r="D145" s="9" t="s">
        <v>161</v>
      </c>
      <c r="E145" s="9"/>
      <c r="F145" s="6"/>
      <c r="G145" s="12">
        <f>H145+I145</f>
        <v>200000</v>
      </c>
      <c r="H145" s="13">
        <v>200000</v>
      </c>
      <c r="I145" s="13"/>
      <c r="J145" s="13"/>
      <c r="K145" s="34"/>
      <c r="L145" s="34"/>
    </row>
    <row r="146" spans="1:12" s="35" customFormat="1" ht="75.75" customHeight="1">
      <c r="A146" s="19" t="s">
        <v>84</v>
      </c>
      <c r="B146" s="5"/>
      <c r="C146" s="5"/>
      <c r="D146" s="15" t="s">
        <v>49</v>
      </c>
      <c r="E146" s="9"/>
      <c r="F146" s="6"/>
      <c r="G146" s="12">
        <f>G147</f>
        <v>50000</v>
      </c>
      <c r="H146" s="13">
        <f>H147</f>
        <v>50000</v>
      </c>
      <c r="I146" s="13"/>
      <c r="J146" s="13"/>
      <c r="K146" s="34"/>
      <c r="L146" s="34"/>
    </row>
    <row r="147" spans="1:12" s="35" customFormat="1" ht="51" customHeight="1">
      <c r="A147" s="5" t="s">
        <v>101</v>
      </c>
      <c r="B147" s="5"/>
      <c r="C147" s="5"/>
      <c r="D147" s="9" t="s">
        <v>49</v>
      </c>
      <c r="E147" s="9"/>
      <c r="F147" s="6"/>
      <c r="G147" s="12">
        <f>H147+I147</f>
        <v>50000</v>
      </c>
      <c r="H147" s="13">
        <f>H149</f>
        <v>50000</v>
      </c>
      <c r="I147" s="13"/>
      <c r="J147" s="13"/>
      <c r="K147" s="34"/>
      <c r="L147" s="34"/>
    </row>
    <row r="148" spans="1:12" s="35" customFormat="1" ht="36.75" customHeight="1">
      <c r="A148" s="5"/>
      <c r="B148" s="5"/>
      <c r="C148" s="5"/>
      <c r="D148" s="9"/>
      <c r="E148" s="9" t="s">
        <v>30</v>
      </c>
      <c r="F148" s="6"/>
      <c r="G148" s="12"/>
      <c r="H148" s="13"/>
      <c r="I148" s="13"/>
      <c r="J148" s="13"/>
      <c r="K148" s="34"/>
      <c r="L148" s="34"/>
    </row>
    <row r="149" spans="1:12" s="35" customFormat="1" ht="49.5" customHeight="1">
      <c r="A149" s="5" t="s">
        <v>364</v>
      </c>
      <c r="B149" s="5" t="s">
        <v>18</v>
      </c>
      <c r="C149" s="5" t="s">
        <v>162</v>
      </c>
      <c r="D149" s="9" t="s">
        <v>161</v>
      </c>
      <c r="E149" s="9"/>
      <c r="F149" s="6"/>
      <c r="G149" s="12">
        <f>H149+I149</f>
        <v>50000</v>
      </c>
      <c r="H149" s="13">
        <v>50000</v>
      </c>
      <c r="I149" s="13"/>
      <c r="J149" s="13"/>
      <c r="K149" s="34"/>
      <c r="L149" s="34"/>
    </row>
    <row r="150" spans="1:12" s="35" customFormat="1" ht="60.75" customHeight="1">
      <c r="A150" s="5"/>
      <c r="B150" s="5"/>
      <c r="C150" s="5"/>
      <c r="D150" s="9"/>
      <c r="E150" s="15" t="s">
        <v>359</v>
      </c>
      <c r="F150" s="6" t="s">
        <v>363</v>
      </c>
      <c r="G150" s="59">
        <f>H150+I150</f>
        <v>129770.51000000001</v>
      </c>
      <c r="H150" s="67">
        <f>H151+H155</f>
        <v>129770.51000000001</v>
      </c>
      <c r="I150" s="13"/>
      <c r="J150" s="13"/>
      <c r="K150" s="34"/>
      <c r="L150" s="34"/>
    </row>
    <row r="151" spans="1:12" s="35" customFormat="1" ht="66.75" customHeight="1" hidden="1">
      <c r="A151" s="19" t="s">
        <v>59</v>
      </c>
      <c r="B151" s="5"/>
      <c r="C151" s="5"/>
      <c r="D151" s="15" t="s">
        <v>19</v>
      </c>
      <c r="E151" s="9"/>
      <c r="F151" s="10"/>
      <c r="G151" s="12">
        <f>G152</f>
        <v>0</v>
      </c>
      <c r="H151" s="12">
        <f>H152</f>
        <v>0</v>
      </c>
      <c r="I151" s="12"/>
      <c r="J151" s="13"/>
      <c r="K151" s="34"/>
      <c r="L151" s="34"/>
    </row>
    <row r="152" spans="1:12" s="35" customFormat="1" ht="49.5" customHeight="1" hidden="1">
      <c r="A152" s="5" t="s">
        <v>60</v>
      </c>
      <c r="B152" s="5"/>
      <c r="C152" s="5"/>
      <c r="D152" s="9" t="s">
        <v>19</v>
      </c>
      <c r="E152" s="9"/>
      <c r="F152" s="10"/>
      <c r="G152" s="12">
        <f>H152+I152</f>
        <v>0</v>
      </c>
      <c r="H152" s="12">
        <f>H154</f>
        <v>0</v>
      </c>
      <c r="I152" s="12"/>
      <c r="J152" s="13"/>
      <c r="K152" s="34"/>
      <c r="L152" s="34"/>
    </row>
    <row r="153" spans="1:12" s="35" customFormat="1" ht="33.75" customHeight="1" hidden="1">
      <c r="A153" s="5"/>
      <c r="B153" s="5"/>
      <c r="C153" s="5"/>
      <c r="D153" s="9"/>
      <c r="E153" s="9" t="s">
        <v>30</v>
      </c>
      <c r="F153" s="10"/>
      <c r="G153" s="12"/>
      <c r="H153" s="13"/>
      <c r="I153" s="13"/>
      <c r="J153" s="13"/>
      <c r="K153" s="34"/>
      <c r="L153" s="34"/>
    </row>
    <row r="154" spans="1:12" s="35" customFormat="1" ht="49.5" customHeight="1" hidden="1">
      <c r="A154" s="5" t="s">
        <v>345</v>
      </c>
      <c r="B154" s="5" t="s">
        <v>346</v>
      </c>
      <c r="C154" s="5" t="s">
        <v>347</v>
      </c>
      <c r="D154" s="9" t="s">
        <v>348</v>
      </c>
      <c r="E154" s="9"/>
      <c r="F154" s="6"/>
      <c r="G154" s="12">
        <f>H154+I154</f>
        <v>0</v>
      </c>
      <c r="H154" s="13">
        <f>436331-436331</f>
        <v>0</v>
      </c>
      <c r="I154" s="13"/>
      <c r="J154" s="13"/>
      <c r="K154" s="34"/>
      <c r="L154" s="34"/>
    </row>
    <row r="155" spans="1:12" s="35" customFormat="1" ht="72" customHeight="1">
      <c r="A155" s="19" t="s">
        <v>84</v>
      </c>
      <c r="B155" s="5"/>
      <c r="C155" s="5"/>
      <c r="D155" s="15" t="s">
        <v>49</v>
      </c>
      <c r="E155" s="9"/>
      <c r="F155" s="10"/>
      <c r="G155" s="69">
        <f>G156</f>
        <v>129770.51000000001</v>
      </c>
      <c r="H155" s="69">
        <f>H156</f>
        <v>129770.51000000001</v>
      </c>
      <c r="I155" s="12"/>
      <c r="J155" s="13"/>
      <c r="K155" s="34"/>
      <c r="L155" s="34"/>
    </row>
    <row r="156" spans="1:12" s="35" customFormat="1" ht="65.25" customHeight="1">
      <c r="A156" s="5" t="s">
        <v>101</v>
      </c>
      <c r="B156" s="5"/>
      <c r="C156" s="5"/>
      <c r="D156" s="9" t="s">
        <v>49</v>
      </c>
      <c r="E156" s="9"/>
      <c r="F156" s="10"/>
      <c r="G156" s="69">
        <f>H156+I156</f>
        <v>129770.51000000001</v>
      </c>
      <c r="H156" s="69">
        <f>H158</f>
        <v>129770.51000000001</v>
      </c>
      <c r="I156" s="12"/>
      <c r="J156" s="13"/>
      <c r="K156" s="34"/>
      <c r="L156" s="34"/>
    </row>
    <row r="157" spans="1:12" s="35" customFormat="1" ht="31.5" customHeight="1">
      <c r="A157" s="5"/>
      <c r="B157" s="5"/>
      <c r="C157" s="5"/>
      <c r="D157" s="9"/>
      <c r="E157" s="9" t="s">
        <v>30</v>
      </c>
      <c r="F157" s="10"/>
      <c r="G157" s="12"/>
      <c r="H157" s="13"/>
      <c r="I157" s="13"/>
      <c r="J157" s="13"/>
      <c r="K157" s="34"/>
      <c r="L157" s="34"/>
    </row>
    <row r="158" spans="1:12" s="35" customFormat="1" ht="49.5" customHeight="1">
      <c r="A158" s="5" t="s">
        <v>349</v>
      </c>
      <c r="B158" s="5" t="s">
        <v>346</v>
      </c>
      <c r="C158" s="5" t="s">
        <v>347</v>
      </c>
      <c r="D158" s="9" t="s">
        <v>348</v>
      </c>
      <c r="E158" s="9"/>
      <c r="F158" s="6"/>
      <c r="G158" s="69">
        <f>H158+I158</f>
        <v>129770.51000000001</v>
      </c>
      <c r="H158" s="70">
        <f>177085-47314.49</f>
        <v>129770.51000000001</v>
      </c>
      <c r="I158" s="13"/>
      <c r="J158" s="13"/>
      <c r="K158" s="34"/>
      <c r="L158" s="34"/>
    </row>
    <row r="159" spans="1:12" s="35" customFormat="1" ht="49.5" customHeight="1">
      <c r="A159" s="5"/>
      <c r="B159" s="5"/>
      <c r="C159" s="5"/>
      <c r="D159" s="9"/>
      <c r="E159" s="15" t="s">
        <v>289</v>
      </c>
      <c r="F159" s="6" t="s">
        <v>339</v>
      </c>
      <c r="G159" s="59">
        <f>H159+I159</f>
        <v>63549786.269999996</v>
      </c>
      <c r="H159" s="59">
        <f>H160</f>
        <v>63241988.269999996</v>
      </c>
      <c r="I159" s="7">
        <f>I160+I175</f>
        <v>307798</v>
      </c>
      <c r="J159" s="7">
        <f>J160+J175</f>
        <v>207799</v>
      </c>
      <c r="K159" s="34"/>
      <c r="L159" s="34"/>
    </row>
    <row r="160" spans="1:12" s="35" customFormat="1" ht="63.75" customHeight="1">
      <c r="A160" s="19" t="s">
        <v>59</v>
      </c>
      <c r="B160" s="5"/>
      <c r="C160" s="5"/>
      <c r="D160" s="15" t="s">
        <v>19</v>
      </c>
      <c r="E160" s="9"/>
      <c r="F160" s="10"/>
      <c r="G160" s="69">
        <f aca="true" t="shared" si="6" ref="G160:L160">G161</f>
        <v>63449787.269999996</v>
      </c>
      <c r="H160" s="69">
        <f t="shared" si="6"/>
        <v>63241988.269999996</v>
      </c>
      <c r="I160" s="12">
        <f>I161</f>
        <v>207799</v>
      </c>
      <c r="J160" s="12">
        <f>J161</f>
        <v>207799</v>
      </c>
      <c r="K160" s="12">
        <f t="shared" si="6"/>
        <v>0</v>
      </c>
      <c r="L160" s="12">
        <f t="shared" si="6"/>
        <v>0</v>
      </c>
    </row>
    <row r="161" spans="1:12" s="35" customFormat="1" ht="49.5" customHeight="1">
      <c r="A161" s="5" t="s">
        <v>60</v>
      </c>
      <c r="B161" s="5"/>
      <c r="C161" s="5"/>
      <c r="D161" s="9" t="s">
        <v>19</v>
      </c>
      <c r="E161" s="9"/>
      <c r="F161" s="10"/>
      <c r="G161" s="69">
        <f>H161+I161</f>
        <v>63449787.269999996</v>
      </c>
      <c r="H161" s="69">
        <f>SUM(H163:H174)</f>
        <v>63241988.269999996</v>
      </c>
      <c r="I161" s="12">
        <f>SUM(I163:I174)</f>
        <v>207799</v>
      </c>
      <c r="J161" s="12">
        <f>SUM(J163:J174)</f>
        <v>207799</v>
      </c>
      <c r="K161" s="34"/>
      <c r="L161" s="34"/>
    </row>
    <row r="162" spans="1:12" s="35" customFormat="1" ht="34.5" customHeight="1">
      <c r="A162" s="5"/>
      <c r="B162" s="5"/>
      <c r="C162" s="5"/>
      <c r="D162" s="9"/>
      <c r="E162" s="9" t="s">
        <v>30</v>
      </c>
      <c r="F162" s="10"/>
      <c r="G162" s="12"/>
      <c r="H162" s="13"/>
      <c r="I162" s="13"/>
      <c r="J162" s="13"/>
      <c r="K162" s="34"/>
      <c r="L162" s="34"/>
    </row>
    <row r="163" spans="1:12" s="35" customFormat="1" ht="68.25" customHeight="1">
      <c r="A163" s="5" t="s">
        <v>67</v>
      </c>
      <c r="B163" s="71">
        <v>3031</v>
      </c>
      <c r="C163" s="71">
        <v>1030</v>
      </c>
      <c r="D163" s="53" t="s">
        <v>65</v>
      </c>
      <c r="E163" s="10"/>
      <c r="F163" s="10"/>
      <c r="G163" s="12">
        <f aca="true" t="shared" si="7" ref="G163:G178">H163+I163</f>
        <v>334200</v>
      </c>
      <c r="H163" s="13">
        <v>334200</v>
      </c>
      <c r="I163" s="13"/>
      <c r="J163" s="13"/>
      <c r="K163" s="37"/>
      <c r="L163" s="34"/>
    </row>
    <row r="164" spans="1:12" s="35" customFormat="1" ht="49.5" customHeight="1">
      <c r="A164" s="5" t="s">
        <v>68</v>
      </c>
      <c r="B164" s="5" t="s">
        <v>66</v>
      </c>
      <c r="C164" s="5" t="s">
        <v>324</v>
      </c>
      <c r="D164" s="105" t="s">
        <v>255</v>
      </c>
      <c r="E164" s="9"/>
      <c r="F164" s="10"/>
      <c r="G164" s="12">
        <f t="shared" si="7"/>
        <v>492</v>
      </c>
      <c r="H164" s="13">
        <v>492</v>
      </c>
      <c r="I164" s="13"/>
      <c r="J164" s="13"/>
      <c r="K164" s="34"/>
      <c r="L164" s="34"/>
    </row>
    <row r="165" spans="1:12" s="35" customFormat="1" ht="78" customHeight="1">
      <c r="A165" s="5" t="s">
        <v>69</v>
      </c>
      <c r="B165" s="5" t="s">
        <v>44</v>
      </c>
      <c r="C165" s="5" t="s">
        <v>324</v>
      </c>
      <c r="D165" s="105" t="s">
        <v>46</v>
      </c>
      <c r="E165" s="9"/>
      <c r="F165" s="10"/>
      <c r="G165" s="12">
        <f t="shared" si="7"/>
        <v>8330000</v>
      </c>
      <c r="H165" s="13">
        <f>8300000+30000</f>
        <v>8330000</v>
      </c>
      <c r="I165" s="13"/>
      <c r="J165" s="13"/>
      <c r="K165" s="34"/>
      <c r="L165" s="34"/>
    </row>
    <row r="166" spans="1:12" s="35" customFormat="1" ht="75" customHeight="1">
      <c r="A166" s="5" t="s">
        <v>70</v>
      </c>
      <c r="B166" s="5" t="s">
        <v>45</v>
      </c>
      <c r="C166" s="5" t="s">
        <v>324</v>
      </c>
      <c r="D166" s="105" t="s">
        <v>47</v>
      </c>
      <c r="E166" s="9"/>
      <c r="F166" s="10"/>
      <c r="G166" s="12">
        <f t="shared" si="7"/>
        <v>400000</v>
      </c>
      <c r="H166" s="13">
        <v>400000</v>
      </c>
      <c r="I166" s="13"/>
      <c r="J166" s="13"/>
      <c r="K166" s="34"/>
      <c r="L166" s="34"/>
    </row>
    <row r="167" spans="1:12" s="35" customFormat="1" ht="49.5" customHeight="1">
      <c r="A167" s="5" t="s">
        <v>228</v>
      </c>
      <c r="B167" s="94">
        <v>3121</v>
      </c>
      <c r="C167" s="94">
        <v>1040</v>
      </c>
      <c r="D167" s="9" t="s">
        <v>221</v>
      </c>
      <c r="E167" s="9"/>
      <c r="F167" s="10"/>
      <c r="G167" s="12">
        <f t="shared" si="7"/>
        <v>135072</v>
      </c>
      <c r="H167" s="13">
        <f>119995+15077</f>
        <v>135072</v>
      </c>
      <c r="I167" s="13"/>
      <c r="J167" s="13"/>
      <c r="K167" s="34"/>
      <c r="L167" s="34"/>
    </row>
    <row r="168" spans="1:12" s="35" customFormat="1" ht="146.25" customHeight="1">
      <c r="A168" s="106" t="s">
        <v>237</v>
      </c>
      <c r="B168" s="107">
        <v>3160</v>
      </c>
      <c r="C168" s="106" t="s">
        <v>32</v>
      </c>
      <c r="D168" s="108" t="s">
        <v>238</v>
      </c>
      <c r="E168" s="9"/>
      <c r="F168" s="10"/>
      <c r="G168" s="12">
        <f t="shared" si="7"/>
        <v>2604500</v>
      </c>
      <c r="H168" s="13">
        <v>2604500</v>
      </c>
      <c r="I168" s="13"/>
      <c r="J168" s="13"/>
      <c r="K168" s="34"/>
      <c r="L168" s="34"/>
    </row>
    <row r="169" spans="1:12" s="35" customFormat="1" ht="49.5" customHeight="1">
      <c r="A169" s="5" t="s">
        <v>141</v>
      </c>
      <c r="B169" s="94">
        <v>3191</v>
      </c>
      <c r="C169" s="94">
        <v>1030</v>
      </c>
      <c r="D169" s="9" t="s">
        <v>48</v>
      </c>
      <c r="E169" s="9"/>
      <c r="F169" s="10"/>
      <c r="G169" s="12">
        <f t="shared" si="7"/>
        <v>252500</v>
      </c>
      <c r="H169" s="13">
        <f>297000+3000-47500</f>
        <v>252500</v>
      </c>
      <c r="I169" s="13"/>
      <c r="J169" s="13"/>
      <c r="K169" s="34"/>
      <c r="L169" s="34"/>
    </row>
    <row r="170" spans="1:12" s="35" customFormat="1" ht="88.5" customHeight="1">
      <c r="A170" s="5" t="s">
        <v>142</v>
      </c>
      <c r="B170" s="94">
        <v>3192</v>
      </c>
      <c r="C170" s="94">
        <v>1030</v>
      </c>
      <c r="D170" s="9" t="s">
        <v>220</v>
      </c>
      <c r="E170" s="9"/>
      <c r="F170" s="10"/>
      <c r="G170" s="69">
        <f t="shared" si="7"/>
        <v>85008.03</v>
      </c>
      <c r="H170" s="70">
        <f>200000-114992+0.03</f>
        <v>85008.03</v>
      </c>
      <c r="I170" s="13"/>
      <c r="J170" s="13"/>
      <c r="K170" s="34"/>
      <c r="L170" s="34"/>
    </row>
    <row r="171" spans="1:12" s="35" customFormat="1" ht="91.5" customHeight="1">
      <c r="A171" s="5" t="s">
        <v>308</v>
      </c>
      <c r="B171" s="94">
        <v>3230</v>
      </c>
      <c r="C171" s="94">
        <v>1070</v>
      </c>
      <c r="D171" s="9" t="s">
        <v>329</v>
      </c>
      <c r="E171" s="9"/>
      <c r="F171" s="10"/>
      <c r="G171" s="69">
        <f t="shared" si="7"/>
        <v>701915.24</v>
      </c>
      <c r="H171" s="70">
        <f>687815+163604.21-149503.97</f>
        <v>701915.24</v>
      </c>
      <c r="I171" s="13"/>
      <c r="J171" s="13"/>
      <c r="K171" s="34"/>
      <c r="L171" s="34"/>
    </row>
    <row r="172" spans="1:12" s="35" customFormat="1" ht="79.5" customHeight="1">
      <c r="A172" s="5" t="s">
        <v>236</v>
      </c>
      <c r="B172" s="94">
        <v>3241</v>
      </c>
      <c r="C172" s="94">
        <v>1090</v>
      </c>
      <c r="D172" s="109" t="s">
        <v>192</v>
      </c>
      <c r="E172" s="15"/>
      <c r="F172" s="6"/>
      <c r="G172" s="12">
        <f t="shared" si="7"/>
        <v>311829</v>
      </c>
      <c r="H172" s="13">
        <v>104030</v>
      </c>
      <c r="I172" s="13">
        <f>90000+117799</f>
        <v>207799</v>
      </c>
      <c r="J172" s="13">
        <f>I172</f>
        <v>207799</v>
      </c>
      <c r="K172" s="34"/>
      <c r="L172" s="34"/>
    </row>
    <row r="173" spans="1:12" s="35" customFormat="1" ht="49.5" customHeight="1">
      <c r="A173" s="5" t="s">
        <v>143</v>
      </c>
      <c r="B173" s="94">
        <v>3242</v>
      </c>
      <c r="C173" s="94">
        <v>1090</v>
      </c>
      <c r="D173" s="9" t="s">
        <v>144</v>
      </c>
      <c r="E173" s="9"/>
      <c r="F173" s="10"/>
      <c r="G173" s="12">
        <f t="shared" si="7"/>
        <v>50128200</v>
      </c>
      <c r="H173" s="13">
        <f>27829100+9000000+2000000+20000+4594400+2000000+4627400+64000+9800-16500</f>
        <v>50128200</v>
      </c>
      <c r="I173" s="13"/>
      <c r="J173" s="13"/>
      <c r="K173" s="34"/>
      <c r="L173" s="34"/>
    </row>
    <row r="174" spans="1:12" s="35" customFormat="1" ht="49.5" customHeight="1">
      <c r="A174" s="5" t="s">
        <v>172</v>
      </c>
      <c r="B174" s="94">
        <v>7413</v>
      </c>
      <c r="C174" s="5" t="s">
        <v>325</v>
      </c>
      <c r="D174" s="47" t="s">
        <v>171</v>
      </c>
      <c r="E174" s="9"/>
      <c r="F174" s="10"/>
      <c r="G174" s="12">
        <f t="shared" si="7"/>
        <v>166071</v>
      </c>
      <c r="H174" s="13">
        <f>112728+53343</f>
        <v>166071</v>
      </c>
      <c r="I174" s="13"/>
      <c r="J174" s="13"/>
      <c r="K174" s="34"/>
      <c r="L174" s="34"/>
    </row>
    <row r="175" spans="1:12" s="35" customFormat="1" ht="66.75" customHeight="1">
      <c r="A175" s="19" t="s">
        <v>84</v>
      </c>
      <c r="B175" s="5"/>
      <c r="C175" s="5"/>
      <c r="D175" s="15" t="s">
        <v>49</v>
      </c>
      <c r="E175" s="9"/>
      <c r="F175" s="10"/>
      <c r="G175" s="7">
        <f>G176</f>
        <v>99999</v>
      </c>
      <c r="H175" s="13"/>
      <c r="I175" s="7">
        <f>I176</f>
        <v>99999</v>
      </c>
      <c r="J175" s="13"/>
      <c r="K175" s="34"/>
      <c r="L175" s="34"/>
    </row>
    <row r="176" spans="1:12" s="35" customFormat="1" ht="73.5" customHeight="1">
      <c r="A176" s="5" t="s">
        <v>101</v>
      </c>
      <c r="B176" s="5"/>
      <c r="C176" s="5"/>
      <c r="D176" s="9" t="s">
        <v>49</v>
      </c>
      <c r="E176" s="9"/>
      <c r="F176" s="10"/>
      <c r="G176" s="12">
        <f>H176+I176</f>
        <v>99999</v>
      </c>
      <c r="H176" s="13"/>
      <c r="I176" s="13">
        <f>I178</f>
        <v>99999</v>
      </c>
      <c r="J176" s="13"/>
      <c r="K176" s="34"/>
      <c r="L176" s="34"/>
    </row>
    <row r="177" spans="1:12" s="35" customFormat="1" ht="49.5" customHeight="1">
      <c r="A177" s="5"/>
      <c r="B177" s="5"/>
      <c r="C177" s="5"/>
      <c r="D177" s="9"/>
      <c r="E177" s="9" t="s">
        <v>30</v>
      </c>
      <c r="F177" s="10"/>
      <c r="G177" s="12"/>
      <c r="H177" s="13"/>
      <c r="I177" s="13"/>
      <c r="J177" s="13"/>
      <c r="K177" s="34"/>
      <c r="L177" s="34"/>
    </row>
    <row r="178" spans="1:12" s="40" customFormat="1" ht="183" customHeight="1">
      <c r="A178" s="5" t="s">
        <v>138</v>
      </c>
      <c r="B178" s="94">
        <v>7691</v>
      </c>
      <c r="C178" s="5" t="s">
        <v>11</v>
      </c>
      <c r="D178" s="9" t="s">
        <v>147</v>
      </c>
      <c r="E178" s="15"/>
      <c r="F178" s="6"/>
      <c r="G178" s="12">
        <f t="shared" si="7"/>
        <v>99999</v>
      </c>
      <c r="H178" s="7"/>
      <c r="I178" s="12">
        <v>99999</v>
      </c>
      <c r="J178" s="12"/>
      <c r="K178" s="39"/>
      <c r="L178" s="39"/>
    </row>
    <row r="179" spans="1:12" s="40" customFormat="1" ht="49.5" customHeight="1" hidden="1">
      <c r="A179" s="19"/>
      <c r="B179" s="19"/>
      <c r="C179" s="19"/>
      <c r="D179" s="8"/>
      <c r="E179" s="15"/>
      <c r="F179" s="6"/>
      <c r="G179" s="20"/>
      <c r="H179" s="13"/>
      <c r="I179" s="13"/>
      <c r="J179" s="13"/>
      <c r="K179" s="39"/>
      <c r="L179" s="39"/>
    </row>
    <row r="180" spans="1:12" ht="49.5" customHeight="1" hidden="1">
      <c r="A180" s="5"/>
      <c r="B180" s="5"/>
      <c r="C180" s="5"/>
      <c r="D180" s="9"/>
      <c r="E180" s="9"/>
      <c r="F180" s="10"/>
      <c r="G180" s="12"/>
      <c r="H180" s="12"/>
      <c r="I180" s="12"/>
      <c r="J180" s="12"/>
      <c r="K180" s="24"/>
      <c r="L180" s="24"/>
    </row>
    <row r="181" spans="1:12" s="40" customFormat="1" ht="49.5" customHeight="1" hidden="1">
      <c r="A181" s="5"/>
      <c r="B181" s="11"/>
      <c r="C181" s="11"/>
      <c r="D181" s="9"/>
      <c r="E181" s="9"/>
      <c r="F181" s="10"/>
      <c r="G181" s="20"/>
      <c r="H181" s="13"/>
      <c r="I181" s="13"/>
      <c r="J181" s="13"/>
      <c r="K181" s="39"/>
      <c r="L181" s="39"/>
    </row>
    <row r="182" spans="1:14" s="40" customFormat="1" ht="49.5" customHeight="1" hidden="1">
      <c r="A182" s="5"/>
      <c r="B182" s="5"/>
      <c r="C182" s="5"/>
      <c r="D182" s="9"/>
      <c r="E182" s="9"/>
      <c r="F182" s="10"/>
      <c r="G182" s="12"/>
      <c r="H182" s="13"/>
      <c r="I182" s="13"/>
      <c r="J182" s="13"/>
      <c r="K182" s="39"/>
      <c r="L182" s="39"/>
      <c r="N182" s="41"/>
    </row>
    <row r="183" spans="1:12" ht="49.5" customHeight="1" hidden="1">
      <c r="A183" s="19"/>
      <c r="B183" s="11"/>
      <c r="C183" s="11"/>
      <c r="D183" s="8"/>
      <c r="E183" s="9"/>
      <c r="F183" s="10"/>
      <c r="G183" s="12"/>
      <c r="H183" s="13"/>
      <c r="I183" s="13"/>
      <c r="J183" s="13"/>
      <c r="K183" s="24"/>
      <c r="L183" s="24"/>
    </row>
    <row r="184" spans="1:12" ht="49.5" customHeight="1" hidden="1">
      <c r="A184" s="5"/>
      <c r="B184" s="11"/>
      <c r="C184" s="11"/>
      <c r="D184" s="9"/>
      <c r="E184" s="9"/>
      <c r="F184" s="10"/>
      <c r="G184" s="12"/>
      <c r="H184" s="12"/>
      <c r="I184" s="12"/>
      <c r="J184" s="12"/>
      <c r="K184" s="24"/>
      <c r="L184" s="24"/>
    </row>
    <row r="185" spans="1:12" s="40" customFormat="1" ht="49.5" customHeight="1" hidden="1">
      <c r="A185" s="5"/>
      <c r="B185" s="11"/>
      <c r="C185" s="11"/>
      <c r="D185" s="9"/>
      <c r="E185" s="9"/>
      <c r="F185" s="10"/>
      <c r="G185" s="20"/>
      <c r="H185" s="13"/>
      <c r="I185" s="13"/>
      <c r="J185" s="13"/>
      <c r="K185" s="39"/>
      <c r="L185" s="39"/>
    </row>
    <row r="186" spans="1:12" ht="49.5" customHeight="1" hidden="1">
      <c r="A186" s="5"/>
      <c r="B186" s="5"/>
      <c r="C186" s="5"/>
      <c r="D186" s="9"/>
      <c r="E186" s="9"/>
      <c r="F186" s="10"/>
      <c r="G186" s="12"/>
      <c r="H186" s="13"/>
      <c r="I186" s="13"/>
      <c r="J186" s="13"/>
      <c r="K186" s="24"/>
      <c r="L186" s="24"/>
    </row>
    <row r="187" spans="1:12" ht="63" customHeight="1">
      <c r="A187" s="5"/>
      <c r="B187" s="5"/>
      <c r="C187" s="5"/>
      <c r="D187" s="9"/>
      <c r="E187" s="15" t="s">
        <v>290</v>
      </c>
      <c r="F187" s="6" t="s">
        <v>222</v>
      </c>
      <c r="G187" s="7">
        <f>G189</f>
        <v>124320</v>
      </c>
      <c r="H187" s="7">
        <f>H189</f>
        <v>124320</v>
      </c>
      <c r="I187" s="7"/>
      <c r="J187" s="7"/>
      <c r="K187" s="24"/>
      <c r="L187" s="24"/>
    </row>
    <row r="188" spans="1:12" ht="49.5" customHeight="1">
      <c r="A188" s="5"/>
      <c r="B188" s="5"/>
      <c r="C188" s="5"/>
      <c r="D188" s="9"/>
      <c r="E188" s="9" t="s">
        <v>30</v>
      </c>
      <c r="F188" s="10"/>
      <c r="G188" s="20"/>
      <c r="H188" s="13"/>
      <c r="I188" s="13"/>
      <c r="J188" s="13"/>
      <c r="K188" s="24"/>
      <c r="L188" s="24"/>
    </row>
    <row r="189" spans="1:12" ht="49.5" customHeight="1">
      <c r="A189" s="19" t="s">
        <v>103</v>
      </c>
      <c r="B189" s="11"/>
      <c r="C189" s="11"/>
      <c r="D189" s="15" t="s">
        <v>50</v>
      </c>
      <c r="E189" s="9"/>
      <c r="F189" s="10"/>
      <c r="G189" s="12">
        <f>G190</f>
        <v>124320</v>
      </c>
      <c r="H189" s="12">
        <f>H190</f>
        <v>124320</v>
      </c>
      <c r="I189" s="12"/>
      <c r="J189" s="13"/>
      <c r="K189" s="24"/>
      <c r="L189" s="24"/>
    </row>
    <row r="190" spans="1:12" ht="49.5" customHeight="1">
      <c r="A190" s="5" t="s">
        <v>102</v>
      </c>
      <c r="B190" s="11"/>
      <c r="C190" s="11"/>
      <c r="D190" s="9" t="s">
        <v>50</v>
      </c>
      <c r="E190" s="9"/>
      <c r="F190" s="10"/>
      <c r="G190" s="12">
        <f>H190+I190</f>
        <v>124320</v>
      </c>
      <c r="H190" s="12">
        <f>H192</f>
        <v>124320</v>
      </c>
      <c r="I190" s="12"/>
      <c r="J190" s="12"/>
      <c r="K190" s="24"/>
      <c r="L190" s="24"/>
    </row>
    <row r="191" spans="1:12" ht="49.5" customHeight="1">
      <c r="A191" s="5"/>
      <c r="B191" s="5"/>
      <c r="C191" s="5"/>
      <c r="D191" s="9"/>
      <c r="E191" s="9" t="s">
        <v>30</v>
      </c>
      <c r="F191" s="10"/>
      <c r="G191" s="20"/>
      <c r="H191" s="13"/>
      <c r="I191" s="13"/>
      <c r="J191" s="13"/>
      <c r="K191" s="24"/>
      <c r="L191" s="24"/>
    </row>
    <row r="192" spans="1:12" s="35" customFormat="1" ht="49.5" customHeight="1">
      <c r="A192" s="5" t="s">
        <v>256</v>
      </c>
      <c r="B192" s="5" t="s">
        <v>246</v>
      </c>
      <c r="C192" s="5" t="s">
        <v>33</v>
      </c>
      <c r="D192" s="9" t="s">
        <v>247</v>
      </c>
      <c r="E192" s="9"/>
      <c r="F192" s="10"/>
      <c r="G192" s="12">
        <f>H192+I192</f>
        <v>124320</v>
      </c>
      <c r="H192" s="13">
        <f>76900+25400+22020</f>
        <v>124320</v>
      </c>
      <c r="I192" s="13"/>
      <c r="J192" s="13"/>
      <c r="K192" s="34"/>
      <c r="L192" s="34"/>
    </row>
    <row r="193" spans="1:12" ht="87.75" customHeight="1">
      <c r="A193" s="5"/>
      <c r="B193" s="11"/>
      <c r="C193" s="11"/>
      <c r="D193" s="9"/>
      <c r="E193" s="15" t="s">
        <v>291</v>
      </c>
      <c r="F193" s="6" t="s">
        <v>197</v>
      </c>
      <c r="G193" s="7">
        <f>G195</f>
        <v>6800736</v>
      </c>
      <c r="H193" s="16">
        <f>H195</f>
        <v>5366736</v>
      </c>
      <c r="I193" s="16">
        <f>I195</f>
        <v>1434000</v>
      </c>
      <c r="J193" s="16">
        <f>J195</f>
        <v>1434000</v>
      </c>
      <c r="K193" s="24"/>
      <c r="L193" s="23"/>
    </row>
    <row r="194" spans="1:12" ht="40.5" customHeight="1">
      <c r="A194" s="5"/>
      <c r="B194" s="11"/>
      <c r="C194" s="11"/>
      <c r="D194" s="9"/>
      <c r="E194" s="9" t="s">
        <v>30</v>
      </c>
      <c r="F194" s="10"/>
      <c r="G194" s="20"/>
      <c r="H194" s="13"/>
      <c r="I194" s="13"/>
      <c r="J194" s="13"/>
      <c r="K194" s="24"/>
      <c r="L194" s="24"/>
    </row>
    <row r="195" spans="1:12" ht="49.5" customHeight="1">
      <c r="A195" s="19" t="s">
        <v>25</v>
      </c>
      <c r="B195" s="11"/>
      <c r="C195" s="11"/>
      <c r="D195" s="15" t="s">
        <v>1</v>
      </c>
      <c r="E195" s="9"/>
      <c r="F195" s="10"/>
      <c r="G195" s="12">
        <f>G196</f>
        <v>6800736</v>
      </c>
      <c r="H195" s="12">
        <f>H196</f>
        <v>5366736</v>
      </c>
      <c r="I195" s="12">
        <f>I196</f>
        <v>1434000</v>
      </c>
      <c r="J195" s="12">
        <f>J196</f>
        <v>1434000</v>
      </c>
      <c r="K195" s="24"/>
      <c r="L195" s="24"/>
    </row>
    <row r="196" spans="1:12" ht="49.5" customHeight="1">
      <c r="A196" s="5" t="s">
        <v>26</v>
      </c>
      <c r="B196" s="11"/>
      <c r="C196" s="11"/>
      <c r="D196" s="9" t="s">
        <v>1</v>
      </c>
      <c r="E196" s="9"/>
      <c r="F196" s="10"/>
      <c r="G196" s="12">
        <f>H196+I196</f>
        <v>6800736</v>
      </c>
      <c r="H196" s="12">
        <f>H198+H199+H200+H201+H202+H203</f>
        <v>5366736</v>
      </c>
      <c r="I196" s="12">
        <f>I199+I200+I201+I202+I203</f>
        <v>1434000</v>
      </c>
      <c r="J196" s="12">
        <f>J199+J200+J201+J202+J203</f>
        <v>1434000</v>
      </c>
      <c r="K196" s="24"/>
      <c r="L196" s="24"/>
    </row>
    <row r="197" spans="1:12" ht="52.5" customHeight="1">
      <c r="A197" s="5"/>
      <c r="B197" s="5"/>
      <c r="C197" s="5"/>
      <c r="D197" s="9"/>
      <c r="E197" s="9" t="s">
        <v>30</v>
      </c>
      <c r="F197" s="10"/>
      <c r="G197" s="20"/>
      <c r="H197" s="13"/>
      <c r="I197" s="13"/>
      <c r="J197" s="13"/>
      <c r="K197" s="24"/>
      <c r="L197" s="24"/>
    </row>
    <row r="198" spans="1:12" ht="37.5">
      <c r="A198" s="5" t="s">
        <v>230</v>
      </c>
      <c r="B198" s="5" t="s">
        <v>231</v>
      </c>
      <c r="C198" s="5" t="s">
        <v>5</v>
      </c>
      <c r="D198" s="9" t="s">
        <v>242</v>
      </c>
      <c r="E198" s="9"/>
      <c r="F198" s="10"/>
      <c r="G198" s="12">
        <f>H198</f>
        <v>39916</v>
      </c>
      <c r="H198" s="13">
        <v>39916</v>
      </c>
      <c r="I198" s="13"/>
      <c r="J198" s="13"/>
      <c r="K198" s="24"/>
      <c r="L198" s="24"/>
    </row>
    <row r="199" spans="1:12" ht="18.75">
      <c r="A199" s="5" t="s">
        <v>75</v>
      </c>
      <c r="B199" s="5" t="s">
        <v>76</v>
      </c>
      <c r="C199" s="5" t="s">
        <v>10</v>
      </c>
      <c r="D199" s="9" t="s">
        <v>107</v>
      </c>
      <c r="E199" s="9"/>
      <c r="F199" s="10"/>
      <c r="G199" s="12">
        <f>H199+I199</f>
        <v>4521586</v>
      </c>
      <c r="H199" s="13">
        <f>4621586-100000</f>
        <v>4521586</v>
      </c>
      <c r="I199" s="13"/>
      <c r="J199" s="13"/>
      <c r="K199" s="24"/>
      <c r="L199" s="24"/>
    </row>
    <row r="200" spans="1:12" ht="18.75">
      <c r="A200" s="5" t="s">
        <v>155</v>
      </c>
      <c r="B200" s="5" t="s">
        <v>156</v>
      </c>
      <c r="C200" s="5" t="s">
        <v>157</v>
      </c>
      <c r="D200" s="9" t="s">
        <v>159</v>
      </c>
      <c r="E200" s="9"/>
      <c r="F200" s="10"/>
      <c r="G200" s="12">
        <f>H200+I200</f>
        <v>152023</v>
      </c>
      <c r="H200" s="13">
        <v>17023</v>
      </c>
      <c r="I200" s="13">
        <f>100000+35000</f>
        <v>135000</v>
      </c>
      <c r="J200" s="13">
        <f>I200</f>
        <v>135000</v>
      </c>
      <c r="K200" s="24"/>
      <c r="L200" s="24"/>
    </row>
    <row r="201" spans="1:12" ht="37.5">
      <c r="A201" s="5" t="s">
        <v>163</v>
      </c>
      <c r="B201" s="5" t="s">
        <v>164</v>
      </c>
      <c r="C201" s="93" t="s">
        <v>157</v>
      </c>
      <c r="D201" s="92" t="s">
        <v>193</v>
      </c>
      <c r="E201" s="9"/>
      <c r="F201" s="10"/>
      <c r="G201" s="12">
        <f>H201+I201</f>
        <v>92444</v>
      </c>
      <c r="H201" s="13">
        <f>8813+7631</f>
        <v>16444</v>
      </c>
      <c r="I201" s="13">
        <v>76000</v>
      </c>
      <c r="J201" s="13">
        <f>I201</f>
        <v>76000</v>
      </c>
      <c r="K201" s="24"/>
      <c r="L201" s="24"/>
    </row>
    <row r="202" spans="1:12" ht="56.25">
      <c r="A202" s="5" t="s">
        <v>108</v>
      </c>
      <c r="B202" s="5" t="s">
        <v>109</v>
      </c>
      <c r="C202" s="5" t="s">
        <v>110</v>
      </c>
      <c r="D202" s="9" t="s">
        <v>111</v>
      </c>
      <c r="E202" s="9"/>
      <c r="F202" s="12"/>
      <c r="G202" s="12">
        <f>H202+I202</f>
        <v>1358067</v>
      </c>
      <c r="H202" s="13">
        <f>12000+199000+24067-100000</f>
        <v>135067</v>
      </c>
      <c r="I202" s="13">
        <f>1000000+73000+150000</f>
        <v>1223000</v>
      </c>
      <c r="J202" s="13">
        <f>I202</f>
        <v>1223000</v>
      </c>
      <c r="K202" s="24"/>
      <c r="L202" s="24"/>
    </row>
    <row r="203" spans="1:12" ht="37.5">
      <c r="A203" s="5" t="s">
        <v>134</v>
      </c>
      <c r="B203" s="5" t="s">
        <v>135</v>
      </c>
      <c r="C203" s="5" t="s">
        <v>104</v>
      </c>
      <c r="D203" s="9" t="s">
        <v>136</v>
      </c>
      <c r="E203" s="9"/>
      <c r="F203" s="10"/>
      <c r="G203" s="12">
        <f>H203+I203</f>
        <v>636700</v>
      </c>
      <c r="H203" s="13">
        <v>636700</v>
      </c>
      <c r="I203" s="13"/>
      <c r="J203" s="13"/>
      <c r="K203" s="24"/>
      <c r="L203" s="24"/>
    </row>
    <row r="204" spans="1:12" ht="60.75" customHeight="1">
      <c r="A204" s="5"/>
      <c r="B204" s="11"/>
      <c r="C204" s="11"/>
      <c r="D204" s="9"/>
      <c r="E204" s="15" t="s">
        <v>292</v>
      </c>
      <c r="F204" s="6" t="s">
        <v>340</v>
      </c>
      <c r="G204" s="7">
        <f>G206</f>
        <v>1849303</v>
      </c>
      <c r="H204" s="7">
        <f>H206</f>
        <v>1666303</v>
      </c>
      <c r="I204" s="7">
        <f>I206</f>
        <v>183000</v>
      </c>
      <c r="J204" s="7">
        <f>J206</f>
        <v>75000</v>
      </c>
      <c r="K204" s="24"/>
      <c r="L204" s="24"/>
    </row>
    <row r="205" spans="1:12" ht="36" customHeight="1">
      <c r="A205" s="5"/>
      <c r="B205" s="11"/>
      <c r="C205" s="11"/>
      <c r="D205" s="9"/>
      <c r="E205" s="9" t="s">
        <v>30</v>
      </c>
      <c r="F205" s="6"/>
      <c r="G205" s="7"/>
      <c r="H205" s="7"/>
      <c r="I205" s="7"/>
      <c r="J205" s="7"/>
      <c r="K205" s="24"/>
      <c r="L205" s="24"/>
    </row>
    <row r="206" spans="1:12" ht="37.5">
      <c r="A206" s="19" t="s">
        <v>24</v>
      </c>
      <c r="B206" s="55"/>
      <c r="C206" s="55"/>
      <c r="D206" s="15" t="s">
        <v>148</v>
      </c>
      <c r="E206" s="15"/>
      <c r="F206" s="6"/>
      <c r="G206" s="12">
        <f>G207</f>
        <v>1849303</v>
      </c>
      <c r="H206" s="12">
        <f>H207</f>
        <v>1666303</v>
      </c>
      <c r="I206" s="12">
        <f>I207</f>
        <v>183000</v>
      </c>
      <c r="J206" s="12">
        <f>J207</f>
        <v>75000</v>
      </c>
      <c r="K206" s="24"/>
      <c r="L206" s="24"/>
    </row>
    <row r="207" spans="1:12" ht="37.5">
      <c r="A207" s="5" t="s">
        <v>27</v>
      </c>
      <c r="B207" s="11"/>
      <c r="C207" s="11"/>
      <c r="D207" s="9" t="s">
        <v>148</v>
      </c>
      <c r="E207" s="9"/>
      <c r="F207" s="10"/>
      <c r="G207" s="12">
        <f>H207+I207</f>
        <v>1849303</v>
      </c>
      <c r="H207" s="12">
        <f>SUM(H209:H219)</f>
        <v>1666303</v>
      </c>
      <c r="I207" s="12">
        <f>SUM(I209:I219)</f>
        <v>183000</v>
      </c>
      <c r="J207" s="12">
        <f>SUM(J209:J219)</f>
        <v>75000</v>
      </c>
      <c r="K207" s="12" t="e">
        <f>#REF!+K209+K210+K213+K214+K215+K218+#REF!</f>
        <v>#REF!</v>
      </c>
      <c r="L207" s="12" t="e">
        <f>#REF!+L209+L210+L213+L214+L215+L218+#REF!</f>
        <v>#REF!</v>
      </c>
    </row>
    <row r="208" spans="1:12" ht="36.75" customHeight="1">
      <c r="A208" s="5"/>
      <c r="B208" s="5"/>
      <c r="C208" s="5"/>
      <c r="D208" s="9"/>
      <c r="E208" s="9" t="s">
        <v>30</v>
      </c>
      <c r="F208" s="10"/>
      <c r="G208" s="20"/>
      <c r="H208" s="13"/>
      <c r="I208" s="13"/>
      <c r="J208" s="13"/>
      <c r="K208" s="24"/>
      <c r="L208" s="24"/>
    </row>
    <row r="209" spans="1:12" ht="37.5">
      <c r="A209" s="5" t="s">
        <v>63</v>
      </c>
      <c r="B209" s="94">
        <v>3123</v>
      </c>
      <c r="C209" s="94">
        <v>1040</v>
      </c>
      <c r="D209" s="9" t="s">
        <v>62</v>
      </c>
      <c r="E209" s="15"/>
      <c r="F209" s="6"/>
      <c r="G209" s="12">
        <f aca="true" t="shared" si="8" ref="G209:G219">H209+I209</f>
        <v>25900</v>
      </c>
      <c r="H209" s="13">
        <v>25900</v>
      </c>
      <c r="I209" s="13"/>
      <c r="J209" s="13"/>
      <c r="K209" s="24"/>
      <c r="L209" s="24"/>
    </row>
    <row r="210" spans="1:12" ht="75">
      <c r="A210" s="5" t="s">
        <v>64</v>
      </c>
      <c r="B210" s="94">
        <v>3131</v>
      </c>
      <c r="C210" s="94">
        <v>1040</v>
      </c>
      <c r="D210" s="9" t="s">
        <v>330</v>
      </c>
      <c r="E210" s="15"/>
      <c r="F210" s="6"/>
      <c r="G210" s="12">
        <f t="shared" si="8"/>
        <v>871714</v>
      </c>
      <c r="H210" s="13">
        <f>590976+230113+50625</f>
        <v>871714</v>
      </c>
      <c r="I210" s="13"/>
      <c r="J210" s="13"/>
      <c r="K210" s="24"/>
      <c r="L210" s="24"/>
    </row>
    <row r="211" spans="1:12" ht="55.5" customHeight="1">
      <c r="A211" s="5" t="s">
        <v>249</v>
      </c>
      <c r="B211" s="94">
        <v>3133</v>
      </c>
      <c r="C211" s="94">
        <v>1040</v>
      </c>
      <c r="D211" s="9" t="s">
        <v>250</v>
      </c>
      <c r="E211" s="15"/>
      <c r="F211" s="6"/>
      <c r="G211" s="12">
        <f t="shared" si="8"/>
        <v>215500</v>
      </c>
      <c r="H211" s="13">
        <f>84000+65000+66500</f>
        <v>215500</v>
      </c>
      <c r="I211" s="13"/>
      <c r="J211" s="13"/>
      <c r="K211" s="24"/>
      <c r="L211" s="24"/>
    </row>
    <row r="212" spans="1:12" ht="112.5">
      <c r="A212" s="5" t="s">
        <v>373</v>
      </c>
      <c r="B212" s="94">
        <v>3140</v>
      </c>
      <c r="C212" s="94">
        <v>1040</v>
      </c>
      <c r="D212" s="9" t="s">
        <v>34</v>
      </c>
      <c r="E212" s="15"/>
      <c r="F212" s="6"/>
      <c r="G212" s="12">
        <f t="shared" si="8"/>
        <v>40800</v>
      </c>
      <c r="H212" s="13">
        <v>40800</v>
      </c>
      <c r="I212" s="13"/>
      <c r="J212" s="13"/>
      <c r="K212" s="24"/>
      <c r="L212" s="24"/>
    </row>
    <row r="213" spans="1:12" ht="56.25">
      <c r="A213" s="5">
        <v>1115011</v>
      </c>
      <c r="B213" s="5" t="s">
        <v>35</v>
      </c>
      <c r="C213" s="5" t="s">
        <v>8</v>
      </c>
      <c r="D213" s="9" t="s">
        <v>36</v>
      </c>
      <c r="E213" s="15"/>
      <c r="F213" s="6"/>
      <c r="G213" s="12">
        <f t="shared" si="8"/>
        <v>108005</v>
      </c>
      <c r="H213" s="13">
        <v>108005</v>
      </c>
      <c r="I213" s="13"/>
      <c r="J213" s="13"/>
      <c r="K213" s="24"/>
      <c r="L213" s="24"/>
    </row>
    <row r="214" spans="1:12" ht="56.25">
      <c r="A214" s="5">
        <v>1115012</v>
      </c>
      <c r="B214" s="5" t="s">
        <v>37</v>
      </c>
      <c r="C214" s="5" t="s">
        <v>8</v>
      </c>
      <c r="D214" s="9" t="s">
        <v>38</v>
      </c>
      <c r="E214" s="15"/>
      <c r="F214" s="6"/>
      <c r="G214" s="12">
        <f t="shared" si="8"/>
        <v>64930</v>
      </c>
      <c r="H214" s="13">
        <v>64930</v>
      </c>
      <c r="I214" s="13"/>
      <c r="J214" s="13"/>
      <c r="K214" s="24"/>
      <c r="L214" s="24"/>
    </row>
    <row r="215" spans="1:12" ht="56.25">
      <c r="A215" s="5" t="s">
        <v>39</v>
      </c>
      <c r="B215" s="5" t="s">
        <v>40</v>
      </c>
      <c r="C215" s="5" t="s">
        <v>8</v>
      </c>
      <c r="D215" s="9" t="s">
        <v>140</v>
      </c>
      <c r="E215" s="15"/>
      <c r="F215" s="6"/>
      <c r="G215" s="12">
        <f t="shared" si="8"/>
        <v>24920</v>
      </c>
      <c r="H215" s="13">
        <v>24920</v>
      </c>
      <c r="I215" s="13"/>
      <c r="J215" s="13"/>
      <c r="K215" s="24"/>
      <c r="L215" s="24"/>
    </row>
    <row r="216" spans="1:12" ht="56.25">
      <c r="A216" s="5" t="s">
        <v>353</v>
      </c>
      <c r="B216" s="5" t="s">
        <v>354</v>
      </c>
      <c r="C216" s="5" t="s">
        <v>8</v>
      </c>
      <c r="D216" s="9" t="s">
        <v>355</v>
      </c>
      <c r="E216" s="15"/>
      <c r="F216" s="6"/>
      <c r="G216" s="12">
        <f>H216</f>
        <v>26672</v>
      </c>
      <c r="H216" s="13">
        <v>26672</v>
      </c>
      <c r="I216" s="13"/>
      <c r="J216" s="13"/>
      <c r="K216" s="24"/>
      <c r="L216" s="24"/>
    </row>
    <row r="217" spans="1:12" ht="53.25" customHeight="1">
      <c r="A217" s="95" t="s">
        <v>167</v>
      </c>
      <c r="B217" s="95" t="s">
        <v>168</v>
      </c>
      <c r="C217" s="95" t="s">
        <v>8</v>
      </c>
      <c r="D217" s="110" t="s">
        <v>169</v>
      </c>
      <c r="E217" s="15"/>
      <c r="F217" s="6"/>
      <c r="G217" s="12">
        <f>H217+I217</f>
        <v>77542</v>
      </c>
      <c r="H217" s="12">
        <v>2542</v>
      </c>
      <c r="I217" s="13">
        <v>75000</v>
      </c>
      <c r="J217" s="13">
        <v>75000</v>
      </c>
      <c r="K217" s="24"/>
      <c r="L217" s="24"/>
    </row>
    <row r="218" spans="1:12" ht="75">
      <c r="A218" s="5" t="s">
        <v>41</v>
      </c>
      <c r="B218" s="5" t="s">
        <v>42</v>
      </c>
      <c r="C218" s="5" t="s">
        <v>8</v>
      </c>
      <c r="D218" s="9" t="s">
        <v>43</v>
      </c>
      <c r="E218" s="15"/>
      <c r="F218" s="6"/>
      <c r="G218" s="12">
        <f t="shared" si="8"/>
        <v>285320</v>
      </c>
      <c r="H218" s="13">
        <v>285320</v>
      </c>
      <c r="I218" s="13"/>
      <c r="J218" s="13"/>
      <c r="K218" s="24"/>
      <c r="L218" s="24"/>
    </row>
    <row r="219" spans="1:12" ht="180.75" customHeight="1">
      <c r="A219" s="5" t="s">
        <v>139</v>
      </c>
      <c r="B219" s="5" t="s">
        <v>137</v>
      </c>
      <c r="C219" s="5" t="s">
        <v>11</v>
      </c>
      <c r="D219" s="9" t="s">
        <v>147</v>
      </c>
      <c r="E219" s="9"/>
      <c r="F219" s="10"/>
      <c r="G219" s="12">
        <f t="shared" si="8"/>
        <v>108000</v>
      </c>
      <c r="H219" s="13"/>
      <c r="I219" s="13">
        <v>108000</v>
      </c>
      <c r="J219" s="13"/>
      <c r="K219" s="24"/>
      <c r="L219" s="24"/>
    </row>
    <row r="220" spans="1:12" ht="75">
      <c r="A220" s="5"/>
      <c r="B220" s="11"/>
      <c r="C220" s="11"/>
      <c r="D220" s="9"/>
      <c r="E220" s="15" t="s">
        <v>293</v>
      </c>
      <c r="F220" s="6" t="s">
        <v>209</v>
      </c>
      <c r="G220" s="59">
        <f aca="true" t="shared" si="9" ref="G220:J221">G221</f>
        <v>442978210.63</v>
      </c>
      <c r="H220" s="7">
        <f t="shared" si="9"/>
        <v>208186329</v>
      </c>
      <c r="I220" s="59">
        <f t="shared" si="9"/>
        <v>234791881.63</v>
      </c>
      <c r="J220" s="59">
        <f t="shared" si="9"/>
        <v>31172223.63</v>
      </c>
      <c r="K220" s="24"/>
      <c r="L220" s="25"/>
    </row>
    <row r="221" spans="1:12" ht="56.25">
      <c r="A221" s="19" t="s">
        <v>84</v>
      </c>
      <c r="B221" s="11"/>
      <c r="C221" s="11"/>
      <c r="D221" s="15" t="s">
        <v>49</v>
      </c>
      <c r="E221" s="47" t="s">
        <v>2</v>
      </c>
      <c r="F221" s="10"/>
      <c r="G221" s="69">
        <f t="shared" si="9"/>
        <v>442978210.63</v>
      </c>
      <c r="H221" s="12">
        <f t="shared" si="9"/>
        <v>208186329</v>
      </c>
      <c r="I221" s="69">
        <f t="shared" si="9"/>
        <v>234791881.63</v>
      </c>
      <c r="J221" s="69">
        <f t="shared" si="9"/>
        <v>31172223.63</v>
      </c>
      <c r="K221" s="12">
        <f>K222</f>
        <v>265964105.26</v>
      </c>
      <c r="L221" s="12">
        <f>L222</f>
        <v>0</v>
      </c>
    </row>
    <row r="222" spans="1:12" ht="56.25">
      <c r="A222" s="5" t="s">
        <v>101</v>
      </c>
      <c r="B222" s="11"/>
      <c r="C222" s="11"/>
      <c r="D222" s="9" t="s">
        <v>49</v>
      </c>
      <c r="E222" s="47"/>
      <c r="F222" s="10"/>
      <c r="G222" s="69">
        <f>H222+I222</f>
        <v>442978210.63</v>
      </c>
      <c r="H222" s="111">
        <f>SUM(H224:H238)</f>
        <v>208186329</v>
      </c>
      <c r="I222" s="72">
        <f>SUM(I224:I238)</f>
        <v>234791881.63</v>
      </c>
      <c r="J222" s="72">
        <f>SUM(J224:J238)</f>
        <v>31172223.63</v>
      </c>
      <c r="K222" s="66">
        <f>SUM(I222:J222)</f>
        <v>265964105.26</v>
      </c>
      <c r="L222" s="24"/>
    </row>
    <row r="223" spans="1:12" ht="30.75" customHeight="1">
      <c r="A223" s="5"/>
      <c r="B223" s="11"/>
      <c r="C223" s="11"/>
      <c r="D223" s="9"/>
      <c r="E223" s="9" t="s">
        <v>30</v>
      </c>
      <c r="F223" s="10"/>
      <c r="G223" s="12"/>
      <c r="H223" s="13"/>
      <c r="I223" s="13"/>
      <c r="J223" s="13"/>
      <c r="K223" s="24"/>
      <c r="L223" s="24"/>
    </row>
    <row r="224" spans="1:12" s="65" customFormat="1" ht="50.25" customHeight="1">
      <c r="A224" s="5" t="s">
        <v>166</v>
      </c>
      <c r="B224" s="5" t="s">
        <v>165</v>
      </c>
      <c r="C224" s="94">
        <v>1090</v>
      </c>
      <c r="D224" s="9" t="s">
        <v>144</v>
      </c>
      <c r="E224" s="9"/>
      <c r="F224" s="10"/>
      <c r="G224" s="12">
        <f>H224+I224</f>
        <v>60000</v>
      </c>
      <c r="H224" s="13">
        <v>60000</v>
      </c>
      <c r="I224" s="13"/>
      <c r="J224" s="13"/>
      <c r="K224" s="64"/>
      <c r="L224" s="64"/>
    </row>
    <row r="225" spans="1:12" ht="52.5" customHeight="1">
      <c r="A225" s="5" t="s">
        <v>204</v>
      </c>
      <c r="B225" s="5" t="s">
        <v>85</v>
      </c>
      <c r="C225" s="5" t="s">
        <v>12</v>
      </c>
      <c r="D225" s="9" t="s">
        <v>118</v>
      </c>
      <c r="E225" s="47" t="s">
        <v>2</v>
      </c>
      <c r="F225" s="10"/>
      <c r="G225" s="12">
        <f aca="true" t="shared" si="10" ref="G225:G237">H225+I225</f>
        <v>296100</v>
      </c>
      <c r="H225" s="13">
        <f>80000+10000</f>
        <v>90000</v>
      </c>
      <c r="I225" s="13">
        <f>256100+100000-150000</f>
        <v>206100</v>
      </c>
      <c r="J225" s="13">
        <f>I225</f>
        <v>206100</v>
      </c>
      <c r="K225" s="23"/>
      <c r="L225" s="24"/>
    </row>
    <row r="226" spans="1:12" ht="91.5" customHeight="1">
      <c r="A226" s="5" t="s">
        <v>267</v>
      </c>
      <c r="B226" s="5" t="s">
        <v>268</v>
      </c>
      <c r="C226" s="5" t="s">
        <v>13</v>
      </c>
      <c r="D226" s="9" t="s">
        <v>269</v>
      </c>
      <c r="E226" s="47"/>
      <c r="F226" s="10"/>
      <c r="G226" s="12">
        <f t="shared" si="10"/>
        <v>135000</v>
      </c>
      <c r="H226" s="13">
        <f>40000+2000-25000+5000+5000+50000+12500+12500+5000+5000+20000+3500+10000-10500</f>
        <v>135000</v>
      </c>
      <c r="I226" s="13"/>
      <c r="J226" s="13"/>
      <c r="K226" s="23"/>
      <c r="L226" s="24"/>
    </row>
    <row r="227" spans="1:12" ht="108" customHeight="1">
      <c r="A227" s="5" t="s">
        <v>187</v>
      </c>
      <c r="B227" s="5" t="s">
        <v>188</v>
      </c>
      <c r="C227" s="5" t="s">
        <v>13</v>
      </c>
      <c r="D227" s="112" t="s">
        <v>189</v>
      </c>
      <c r="E227" s="47"/>
      <c r="F227" s="10"/>
      <c r="G227" s="12">
        <f t="shared" si="10"/>
        <v>2908843</v>
      </c>
      <c r="H227" s="13">
        <f>2895003+13840</f>
        <v>2908843</v>
      </c>
      <c r="I227" s="13"/>
      <c r="J227" s="13"/>
      <c r="K227" s="23"/>
      <c r="L227" s="24"/>
    </row>
    <row r="228" spans="1:12" ht="49.5" customHeight="1">
      <c r="A228" s="5" t="s">
        <v>86</v>
      </c>
      <c r="B228" s="5" t="s">
        <v>87</v>
      </c>
      <c r="C228" s="11" t="s">
        <v>13</v>
      </c>
      <c r="D228" s="113" t="s">
        <v>119</v>
      </c>
      <c r="E228" s="53" t="s">
        <v>2</v>
      </c>
      <c r="F228" s="11"/>
      <c r="G228" s="69">
        <f t="shared" si="10"/>
        <v>126677099.63</v>
      </c>
      <c r="H228" s="13">
        <f>103835109+563950+398000+95000-75000+25000+2055400+656843+700000-2000000+7000000+130000+490770+700000-18000+40000+159000+120000+745749+700000+175000-90000+1310000-45000+95000+20000+30000-26191-49000+3500000</f>
        <v>121241630</v>
      </c>
      <c r="I228" s="70">
        <f>1100000+3590269.63+49000+2344900+49500+49500+75000+200200-2344900-175000+45000-49500-49500-49000+150000+450000</f>
        <v>5435469.63</v>
      </c>
      <c r="J228" s="70">
        <f>I228</f>
        <v>5435469.63</v>
      </c>
      <c r="K228" s="23"/>
      <c r="L228" s="24"/>
    </row>
    <row r="229" spans="1:12" ht="87" customHeight="1" hidden="1">
      <c r="A229" s="5" t="s">
        <v>304</v>
      </c>
      <c r="B229" s="5" t="s">
        <v>305</v>
      </c>
      <c r="C229" s="11" t="s">
        <v>13</v>
      </c>
      <c r="D229" s="113" t="s">
        <v>306</v>
      </c>
      <c r="E229" s="53"/>
      <c r="F229" s="11"/>
      <c r="G229" s="12">
        <f t="shared" si="10"/>
        <v>0</v>
      </c>
      <c r="H229" s="13">
        <f>800000-800000</f>
        <v>0</v>
      </c>
      <c r="I229" s="13"/>
      <c r="J229" s="13"/>
      <c r="K229" s="23"/>
      <c r="L229" s="24"/>
    </row>
    <row r="230" spans="1:12" ht="51" customHeight="1">
      <c r="A230" s="5" t="s">
        <v>374</v>
      </c>
      <c r="B230" s="5" t="s">
        <v>375</v>
      </c>
      <c r="C230" s="114" t="s">
        <v>376</v>
      </c>
      <c r="D230" s="113" t="s">
        <v>377</v>
      </c>
      <c r="E230" s="53"/>
      <c r="F230" s="11"/>
      <c r="G230" s="12">
        <f t="shared" si="10"/>
        <v>1415500</v>
      </c>
      <c r="H230" s="13">
        <f>1315500+100000</f>
        <v>1415500</v>
      </c>
      <c r="I230" s="13"/>
      <c r="J230" s="13"/>
      <c r="K230" s="23"/>
      <c r="L230" s="24"/>
    </row>
    <row r="231" spans="1:12" ht="32.25" customHeight="1">
      <c r="A231" s="5" t="s">
        <v>252</v>
      </c>
      <c r="B231" s="5" t="s">
        <v>362</v>
      </c>
      <c r="C231" s="5" t="s">
        <v>15</v>
      </c>
      <c r="D231" s="113" t="s">
        <v>372</v>
      </c>
      <c r="E231" s="53"/>
      <c r="F231" s="11"/>
      <c r="G231" s="12">
        <f t="shared" si="10"/>
        <v>45000</v>
      </c>
      <c r="H231" s="13">
        <f>15000+30000</f>
        <v>45000</v>
      </c>
      <c r="I231" s="13"/>
      <c r="J231" s="13"/>
      <c r="K231" s="23"/>
      <c r="L231" s="24"/>
    </row>
    <row r="232" spans="1:12" ht="53.25" customHeight="1">
      <c r="A232" s="5" t="s">
        <v>113</v>
      </c>
      <c r="B232" s="5" t="s">
        <v>20</v>
      </c>
      <c r="C232" s="5" t="s">
        <v>14</v>
      </c>
      <c r="D232" s="52" t="s">
        <v>120</v>
      </c>
      <c r="E232" s="53" t="s">
        <v>2</v>
      </c>
      <c r="F232" s="11"/>
      <c r="G232" s="12">
        <f t="shared" si="10"/>
        <v>6624291</v>
      </c>
      <c r="H232" s="13"/>
      <c r="I232" s="13">
        <f>6494291-1494900-600000-256100-100000-49000+1200000+930000+500000</f>
        <v>6624291</v>
      </c>
      <c r="J232" s="13">
        <f>I232</f>
        <v>6624291</v>
      </c>
      <c r="K232" s="23"/>
      <c r="L232" s="24"/>
    </row>
    <row r="233" spans="1:12" ht="57" customHeight="1">
      <c r="A233" s="5" t="s">
        <v>226</v>
      </c>
      <c r="B233" s="5" t="s">
        <v>227</v>
      </c>
      <c r="C233" s="5" t="s">
        <v>14</v>
      </c>
      <c r="D233" s="52" t="s">
        <v>234</v>
      </c>
      <c r="E233" s="53" t="s">
        <v>2</v>
      </c>
      <c r="F233" s="11"/>
      <c r="G233" s="12">
        <f t="shared" si="10"/>
        <v>549000</v>
      </c>
      <c r="H233" s="13"/>
      <c r="I233" s="13">
        <f>4098000-1605100-2344900-49500-49500+500000</f>
        <v>549000</v>
      </c>
      <c r="J233" s="13">
        <f>I233</f>
        <v>549000</v>
      </c>
      <c r="K233" s="23"/>
      <c r="L233" s="24"/>
    </row>
    <row r="234" spans="1:12" ht="55.5" customHeight="1">
      <c r="A234" s="5" t="s">
        <v>365</v>
      </c>
      <c r="B234" s="5" t="s">
        <v>366</v>
      </c>
      <c r="C234" s="5" t="s">
        <v>11</v>
      </c>
      <c r="D234" s="52" t="s">
        <v>367</v>
      </c>
      <c r="E234" s="53"/>
      <c r="F234" s="11"/>
      <c r="G234" s="12">
        <f t="shared" si="10"/>
        <v>830000</v>
      </c>
      <c r="H234" s="13"/>
      <c r="I234" s="13">
        <f>150000+680000</f>
        <v>830000</v>
      </c>
      <c r="J234" s="13">
        <f>I234</f>
        <v>830000</v>
      </c>
      <c r="K234" s="23"/>
      <c r="L234" s="24"/>
    </row>
    <row r="235" spans="1:12" ht="53.25" customHeight="1">
      <c r="A235" s="5" t="s">
        <v>334</v>
      </c>
      <c r="B235" s="5" t="s">
        <v>335</v>
      </c>
      <c r="C235" s="5" t="s">
        <v>11</v>
      </c>
      <c r="D235" s="47" t="s">
        <v>336</v>
      </c>
      <c r="E235" s="53"/>
      <c r="F235" s="11"/>
      <c r="G235" s="12">
        <f t="shared" si="10"/>
        <v>27549696</v>
      </c>
      <c r="H235" s="13"/>
      <c r="I235" s="13">
        <f>3100000+685325+1487038+22277333</f>
        <v>27549696</v>
      </c>
      <c r="J235" s="13">
        <v>5272363</v>
      </c>
      <c r="K235" s="23"/>
      <c r="L235" s="24"/>
    </row>
    <row r="236" spans="1:12" ht="72" customHeight="1">
      <c r="A236" s="5" t="s">
        <v>379</v>
      </c>
      <c r="B236" s="5" t="s">
        <v>380</v>
      </c>
      <c r="C236" s="5" t="s">
        <v>11</v>
      </c>
      <c r="D236" s="47" t="s">
        <v>383</v>
      </c>
      <c r="E236" s="53"/>
      <c r="F236" s="11"/>
      <c r="G236" s="12">
        <f t="shared" si="10"/>
        <v>180201924</v>
      </c>
      <c r="H236" s="13"/>
      <c r="I236" s="13">
        <f>114849482+65352442</f>
        <v>180201924</v>
      </c>
      <c r="J236" s="13"/>
      <c r="K236" s="23"/>
      <c r="L236" s="24"/>
    </row>
    <row r="237" spans="1:12" ht="74.25" customHeight="1">
      <c r="A237" s="5" t="s">
        <v>127</v>
      </c>
      <c r="B237" s="5" t="s">
        <v>126</v>
      </c>
      <c r="C237" s="5" t="s">
        <v>203</v>
      </c>
      <c r="D237" s="9" t="s">
        <v>130</v>
      </c>
      <c r="E237" s="53"/>
      <c r="F237" s="11"/>
      <c r="G237" s="12">
        <f t="shared" si="10"/>
        <v>94545356</v>
      </c>
      <c r="H237" s="13">
        <f>18009600+8942756+190000+60000+190000-404285+404285+98000+10000000+4200000+15000000+25000000+600000</f>
        <v>82290356</v>
      </c>
      <c r="I237" s="70">
        <f>7330809+433698.77+1566301.23+1400000-1200000-200000-50000+300000+2000000-3413809+4088000</f>
        <v>12255000</v>
      </c>
      <c r="J237" s="13">
        <f>I237</f>
        <v>12255000</v>
      </c>
      <c r="K237" s="24"/>
      <c r="L237" s="24"/>
    </row>
    <row r="238" spans="1:12" ht="178.5" customHeight="1">
      <c r="A238" s="5" t="s">
        <v>138</v>
      </c>
      <c r="B238" s="5" t="s">
        <v>137</v>
      </c>
      <c r="C238" s="5" t="s">
        <v>11</v>
      </c>
      <c r="D238" s="9" t="s">
        <v>147</v>
      </c>
      <c r="E238" s="53"/>
      <c r="F238" s="11"/>
      <c r="G238" s="12">
        <f>H238+I238</f>
        <v>1140401</v>
      </c>
      <c r="H238" s="13"/>
      <c r="I238" s="13">
        <f>1240400-99999</f>
        <v>1140401</v>
      </c>
      <c r="J238" s="13"/>
      <c r="K238" s="24"/>
      <c r="L238" s="24"/>
    </row>
    <row r="239" spans="1:12" s="35" customFormat="1" ht="56.25">
      <c r="A239" s="5"/>
      <c r="B239" s="5"/>
      <c r="C239" s="5"/>
      <c r="D239" s="9"/>
      <c r="E239" s="15" t="s">
        <v>294</v>
      </c>
      <c r="F239" s="6" t="s">
        <v>360</v>
      </c>
      <c r="G239" s="59">
        <f aca="true" t="shared" si="11" ref="G239:I240">G240</f>
        <v>2197777.08</v>
      </c>
      <c r="H239" s="7">
        <f t="shared" si="11"/>
        <v>336000</v>
      </c>
      <c r="I239" s="59">
        <f t="shared" si="11"/>
        <v>1861777.08</v>
      </c>
      <c r="J239" s="12"/>
      <c r="K239" s="34"/>
      <c r="L239" s="34"/>
    </row>
    <row r="240" spans="1:12" s="35" customFormat="1" ht="56.25">
      <c r="A240" s="19" t="s">
        <v>258</v>
      </c>
      <c r="B240" s="11"/>
      <c r="C240" s="11"/>
      <c r="D240" s="15" t="s">
        <v>49</v>
      </c>
      <c r="E240" s="9"/>
      <c r="F240" s="10"/>
      <c r="G240" s="69">
        <f t="shared" si="11"/>
        <v>2197777.08</v>
      </c>
      <c r="H240" s="12">
        <f t="shared" si="11"/>
        <v>336000</v>
      </c>
      <c r="I240" s="69">
        <f t="shared" si="11"/>
        <v>1861777.08</v>
      </c>
      <c r="J240" s="12"/>
      <c r="K240" s="34"/>
      <c r="L240" s="34"/>
    </row>
    <row r="241" spans="1:12" s="35" customFormat="1" ht="56.25">
      <c r="A241" s="5" t="s">
        <v>101</v>
      </c>
      <c r="B241" s="11"/>
      <c r="C241" s="11"/>
      <c r="D241" s="9" t="s">
        <v>49</v>
      </c>
      <c r="E241" s="9"/>
      <c r="F241" s="10"/>
      <c r="G241" s="69">
        <f>H241+I241</f>
        <v>2197777.08</v>
      </c>
      <c r="H241" s="12">
        <f>H243+H244+H245+H246</f>
        <v>336000</v>
      </c>
      <c r="I241" s="69">
        <f>I243+I244+I245+I246</f>
        <v>1861777.08</v>
      </c>
      <c r="J241" s="12"/>
      <c r="K241" s="34"/>
      <c r="L241" s="34"/>
    </row>
    <row r="242" spans="1:12" s="35" customFormat="1" ht="18.75">
      <c r="A242" s="5"/>
      <c r="B242" s="5"/>
      <c r="C242" s="5"/>
      <c r="D242" s="9"/>
      <c r="E242" s="9" t="s">
        <v>30</v>
      </c>
      <c r="F242" s="6"/>
      <c r="G242" s="12"/>
      <c r="H242" s="13"/>
      <c r="I242" s="13"/>
      <c r="J242" s="13"/>
      <c r="K242" s="34"/>
      <c r="L242" s="34"/>
    </row>
    <row r="243" spans="1:12" s="35" customFormat="1" ht="37.5">
      <c r="A243" s="5" t="s">
        <v>86</v>
      </c>
      <c r="B243" s="5" t="s">
        <v>87</v>
      </c>
      <c r="C243" s="11" t="s">
        <v>13</v>
      </c>
      <c r="D243" s="53" t="s">
        <v>326</v>
      </c>
      <c r="E243" s="9"/>
      <c r="F243" s="10"/>
      <c r="G243" s="12">
        <f>H243+I243</f>
        <v>247000</v>
      </c>
      <c r="H243" s="13">
        <f>49000+198000</f>
        <v>247000</v>
      </c>
      <c r="I243" s="13"/>
      <c r="J243" s="13"/>
      <c r="K243" s="34"/>
      <c r="L243" s="34"/>
    </row>
    <row r="244" spans="1:12" s="35" customFormat="1" ht="37.5">
      <c r="A244" s="5" t="s">
        <v>235</v>
      </c>
      <c r="B244" s="5" t="s">
        <v>223</v>
      </c>
      <c r="C244" s="5" t="s">
        <v>224</v>
      </c>
      <c r="D244" s="9" t="s">
        <v>225</v>
      </c>
      <c r="E244" s="9"/>
      <c r="F244" s="10"/>
      <c r="G244" s="12">
        <f>H244+I244</f>
        <v>40000</v>
      </c>
      <c r="H244" s="13">
        <v>40000</v>
      </c>
      <c r="I244" s="13"/>
      <c r="J244" s="13"/>
      <c r="K244" s="34"/>
      <c r="L244" s="34"/>
    </row>
    <row r="245" spans="1:12" s="35" customFormat="1" ht="18.75">
      <c r="A245" s="5" t="s">
        <v>263</v>
      </c>
      <c r="B245" s="5" t="s">
        <v>264</v>
      </c>
      <c r="C245" s="5" t="s">
        <v>265</v>
      </c>
      <c r="D245" s="9" t="s">
        <v>266</v>
      </c>
      <c r="E245" s="9"/>
      <c r="F245" s="10"/>
      <c r="G245" s="12">
        <f>H245+I245</f>
        <v>49000</v>
      </c>
      <c r="H245" s="13">
        <v>49000</v>
      </c>
      <c r="I245" s="13"/>
      <c r="J245" s="13"/>
      <c r="K245" s="34"/>
      <c r="L245" s="34"/>
    </row>
    <row r="246" spans="1:12" s="35" customFormat="1" ht="37.5">
      <c r="A246" s="5" t="s">
        <v>89</v>
      </c>
      <c r="B246" s="5" t="s">
        <v>88</v>
      </c>
      <c r="C246" s="5" t="s">
        <v>82</v>
      </c>
      <c r="D246" s="9" t="s">
        <v>83</v>
      </c>
      <c r="E246" s="9"/>
      <c r="F246" s="10"/>
      <c r="G246" s="69">
        <f>H246+I246</f>
        <v>1861777.08</v>
      </c>
      <c r="H246" s="13"/>
      <c r="I246" s="70">
        <f>776000+1085777.08</f>
        <v>1861777.08</v>
      </c>
      <c r="J246" s="13"/>
      <c r="K246" s="34"/>
      <c r="L246" s="34"/>
    </row>
    <row r="247" spans="1:12" s="35" customFormat="1" ht="56.25">
      <c r="A247" s="5"/>
      <c r="B247" s="5"/>
      <c r="C247" s="5"/>
      <c r="D247" s="15"/>
      <c r="E247" s="15" t="s">
        <v>307</v>
      </c>
      <c r="F247" s="6" t="s">
        <v>341</v>
      </c>
      <c r="G247" s="7">
        <f>G248</f>
        <v>1500000</v>
      </c>
      <c r="H247" s="7"/>
      <c r="I247" s="7">
        <f>I248</f>
        <v>1500000</v>
      </c>
      <c r="J247" s="7">
        <f>J248</f>
        <v>1500000</v>
      </c>
      <c r="K247" s="34"/>
      <c r="L247" s="34"/>
    </row>
    <row r="248" spans="1:12" s="35" customFormat="1" ht="56.25">
      <c r="A248" s="19" t="s">
        <v>258</v>
      </c>
      <c r="B248" s="5"/>
      <c r="C248" s="5"/>
      <c r="D248" s="15" t="s">
        <v>49</v>
      </c>
      <c r="E248" s="9"/>
      <c r="F248" s="10"/>
      <c r="G248" s="12">
        <f>G249</f>
        <v>1500000</v>
      </c>
      <c r="H248" s="13"/>
      <c r="I248" s="13">
        <f>I249</f>
        <v>1500000</v>
      </c>
      <c r="J248" s="13">
        <f>J249</f>
        <v>1500000</v>
      </c>
      <c r="K248" s="34"/>
      <c r="L248" s="34"/>
    </row>
    <row r="249" spans="1:12" s="35" customFormat="1" ht="56.25">
      <c r="A249" s="5" t="s">
        <v>101</v>
      </c>
      <c r="B249" s="5"/>
      <c r="C249" s="5"/>
      <c r="D249" s="9" t="s">
        <v>49</v>
      </c>
      <c r="E249" s="9"/>
      <c r="F249" s="10"/>
      <c r="G249" s="12">
        <f>H249+I249</f>
        <v>1500000</v>
      </c>
      <c r="H249" s="13"/>
      <c r="I249" s="13">
        <f>I251</f>
        <v>1500000</v>
      </c>
      <c r="J249" s="13">
        <f>J251</f>
        <v>1500000</v>
      </c>
      <c r="K249" s="34"/>
      <c r="L249" s="34"/>
    </row>
    <row r="250" spans="1:12" s="35" customFormat="1" ht="18.75">
      <c r="A250" s="5"/>
      <c r="B250" s="5"/>
      <c r="C250" s="5"/>
      <c r="D250" s="9"/>
      <c r="E250" s="47" t="s">
        <v>30</v>
      </c>
      <c r="F250" s="10"/>
      <c r="G250" s="12"/>
      <c r="H250" s="13"/>
      <c r="I250" s="13"/>
      <c r="J250" s="13"/>
      <c r="K250" s="34"/>
      <c r="L250" s="34"/>
    </row>
    <row r="251" spans="1:12" s="35" customFormat="1" ht="37.5">
      <c r="A251" s="5" t="s">
        <v>204</v>
      </c>
      <c r="B251" s="5" t="s">
        <v>85</v>
      </c>
      <c r="C251" s="5" t="s">
        <v>12</v>
      </c>
      <c r="D251" s="9" t="s">
        <v>118</v>
      </c>
      <c r="E251" s="47"/>
      <c r="F251" s="10"/>
      <c r="G251" s="12">
        <f>H251+I251</f>
        <v>1500000</v>
      </c>
      <c r="H251" s="13"/>
      <c r="I251" s="13">
        <v>1500000</v>
      </c>
      <c r="J251" s="13">
        <f>I251</f>
        <v>1500000</v>
      </c>
      <c r="K251" s="34"/>
      <c r="L251" s="34"/>
    </row>
    <row r="252" spans="1:12" s="35" customFormat="1" ht="93.75">
      <c r="A252" s="5"/>
      <c r="B252" s="5"/>
      <c r="C252" s="5"/>
      <c r="D252" s="9"/>
      <c r="E252" s="15" t="s">
        <v>295</v>
      </c>
      <c r="F252" s="6" t="s">
        <v>170</v>
      </c>
      <c r="G252" s="7">
        <f>G253</f>
        <v>100000</v>
      </c>
      <c r="H252" s="16">
        <f>H253</f>
        <v>100000</v>
      </c>
      <c r="I252" s="16"/>
      <c r="J252" s="13"/>
      <c r="K252" s="34"/>
      <c r="L252" s="34"/>
    </row>
    <row r="253" spans="1:12" s="35" customFormat="1" ht="72" customHeight="1">
      <c r="A253" s="19" t="s">
        <v>258</v>
      </c>
      <c r="B253" s="11"/>
      <c r="C253" s="11"/>
      <c r="D253" s="15" t="s">
        <v>49</v>
      </c>
      <c r="E253" s="9"/>
      <c r="F253" s="10"/>
      <c r="G253" s="12">
        <f>G254</f>
        <v>100000</v>
      </c>
      <c r="H253" s="13">
        <f>H254</f>
        <v>100000</v>
      </c>
      <c r="I253" s="13"/>
      <c r="J253" s="13"/>
      <c r="K253" s="34"/>
      <c r="L253" s="34"/>
    </row>
    <row r="254" spans="1:12" s="35" customFormat="1" ht="72" customHeight="1">
      <c r="A254" s="5" t="s">
        <v>101</v>
      </c>
      <c r="B254" s="11"/>
      <c r="C254" s="11"/>
      <c r="D254" s="9" t="s">
        <v>49</v>
      </c>
      <c r="E254" s="9"/>
      <c r="F254" s="10"/>
      <c r="G254" s="12">
        <f>H254+I254</f>
        <v>100000</v>
      </c>
      <c r="H254" s="13">
        <f>H256</f>
        <v>100000</v>
      </c>
      <c r="I254" s="13"/>
      <c r="J254" s="13"/>
      <c r="K254" s="34"/>
      <c r="L254" s="34"/>
    </row>
    <row r="255" spans="1:12" s="35" customFormat="1" ht="30.75" customHeight="1">
      <c r="A255" s="5"/>
      <c r="B255" s="5"/>
      <c r="C255" s="5"/>
      <c r="D255" s="9"/>
      <c r="E255" s="9" t="s">
        <v>30</v>
      </c>
      <c r="F255" s="10"/>
      <c r="G255" s="20"/>
      <c r="H255" s="13"/>
      <c r="I255" s="13"/>
      <c r="J255" s="13"/>
      <c r="K255" s="34"/>
      <c r="L255" s="34"/>
    </row>
    <row r="256" spans="1:12" s="35" customFormat="1" ht="57.75" customHeight="1">
      <c r="A256" s="5" t="s">
        <v>194</v>
      </c>
      <c r="B256" s="5" t="s">
        <v>123</v>
      </c>
      <c r="C256" s="5" t="s">
        <v>124</v>
      </c>
      <c r="D256" s="9" t="s">
        <v>125</v>
      </c>
      <c r="E256" s="47"/>
      <c r="F256" s="10"/>
      <c r="G256" s="12">
        <f>H256+I256</f>
        <v>100000</v>
      </c>
      <c r="H256" s="13">
        <v>100000</v>
      </c>
      <c r="I256" s="13"/>
      <c r="J256" s="13"/>
      <c r="K256" s="34"/>
      <c r="L256" s="34"/>
    </row>
    <row r="257" spans="1:12" s="35" customFormat="1" ht="108" customHeight="1" hidden="1">
      <c r="A257" s="5"/>
      <c r="B257" s="5"/>
      <c r="C257" s="5"/>
      <c r="D257" s="9"/>
      <c r="E257" s="15" t="s">
        <v>331</v>
      </c>
      <c r="F257" s="6" t="s">
        <v>309</v>
      </c>
      <c r="G257" s="7">
        <f>G258</f>
        <v>0</v>
      </c>
      <c r="H257" s="7"/>
      <c r="I257" s="7">
        <f>I258</f>
        <v>0</v>
      </c>
      <c r="J257" s="7">
        <f>J258</f>
        <v>0</v>
      </c>
      <c r="K257" s="34"/>
      <c r="L257" s="34"/>
    </row>
    <row r="258" spans="1:12" s="35" customFormat="1" ht="96.75" customHeight="1" hidden="1">
      <c r="A258" s="19" t="s">
        <v>258</v>
      </c>
      <c r="B258" s="11"/>
      <c r="C258" s="11"/>
      <c r="D258" s="15" t="s">
        <v>49</v>
      </c>
      <c r="E258" s="9"/>
      <c r="F258" s="10"/>
      <c r="G258" s="12">
        <f>G259</f>
        <v>0</v>
      </c>
      <c r="H258" s="12"/>
      <c r="I258" s="12">
        <f>I259</f>
        <v>0</v>
      </c>
      <c r="J258" s="12">
        <f>J259</f>
        <v>0</v>
      </c>
      <c r="K258" s="34"/>
      <c r="L258" s="34"/>
    </row>
    <row r="259" spans="1:12" s="35" customFormat="1" ht="61.5" customHeight="1" hidden="1">
      <c r="A259" s="5" t="s">
        <v>101</v>
      </c>
      <c r="B259" s="11"/>
      <c r="C259" s="11"/>
      <c r="D259" s="9" t="s">
        <v>49</v>
      </c>
      <c r="E259" s="9"/>
      <c r="F259" s="10"/>
      <c r="G259" s="12">
        <f>H259+I259</f>
        <v>0</v>
      </c>
      <c r="H259" s="12"/>
      <c r="I259" s="12">
        <f>I261</f>
        <v>0</v>
      </c>
      <c r="J259" s="12">
        <f>J261</f>
        <v>0</v>
      </c>
      <c r="K259" s="34"/>
      <c r="L259" s="34"/>
    </row>
    <row r="260" spans="1:12" s="35" customFormat="1" ht="49.5" customHeight="1" hidden="1">
      <c r="A260" s="5"/>
      <c r="B260" s="5"/>
      <c r="C260" s="5"/>
      <c r="D260" s="9"/>
      <c r="E260" s="9" t="s">
        <v>30</v>
      </c>
      <c r="F260" s="6"/>
      <c r="G260" s="12"/>
      <c r="H260" s="13"/>
      <c r="I260" s="13"/>
      <c r="J260" s="13"/>
      <c r="K260" s="34"/>
      <c r="L260" s="34"/>
    </row>
    <row r="261" spans="1:12" s="35" customFormat="1" ht="49.5" customHeight="1" hidden="1">
      <c r="A261" s="5" t="s">
        <v>113</v>
      </c>
      <c r="B261" s="5" t="s">
        <v>20</v>
      </c>
      <c r="C261" s="5" t="s">
        <v>14</v>
      </c>
      <c r="D261" s="53" t="s">
        <v>120</v>
      </c>
      <c r="E261" s="9"/>
      <c r="F261" s="10"/>
      <c r="G261" s="12">
        <f>H261+I261</f>
        <v>0</v>
      </c>
      <c r="H261" s="13"/>
      <c r="I261" s="13">
        <f>2000000-2000000</f>
        <v>0</v>
      </c>
      <c r="J261" s="13">
        <f>2000000-2000000</f>
        <v>0</v>
      </c>
      <c r="K261" s="34"/>
      <c r="L261" s="34"/>
    </row>
    <row r="262" spans="1:12" s="43" customFormat="1" ht="94.5" customHeight="1">
      <c r="A262" s="5"/>
      <c r="B262" s="5"/>
      <c r="C262" s="5"/>
      <c r="D262" s="9"/>
      <c r="E262" s="15" t="s">
        <v>332</v>
      </c>
      <c r="F262" s="6" t="s">
        <v>191</v>
      </c>
      <c r="G262" s="7">
        <f aca="true" t="shared" si="12" ref="G262:J263">G263</f>
        <v>199547963</v>
      </c>
      <c r="H262" s="59">
        <f t="shared" si="12"/>
        <v>4733290.55</v>
      </c>
      <c r="I262" s="59">
        <f t="shared" si="12"/>
        <v>194814672.45</v>
      </c>
      <c r="J262" s="59">
        <f t="shared" si="12"/>
        <v>194814672.45</v>
      </c>
      <c r="K262" s="42"/>
      <c r="L262" s="42"/>
    </row>
    <row r="263" spans="1:12" s="35" customFormat="1" ht="62.25" customHeight="1">
      <c r="A263" s="19" t="s">
        <v>84</v>
      </c>
      <c r="B263" s="11"/>
      <c r="C263" s="11"/>
      <c r="D263" s="15" t="s">
        <v>49</v>
      </c>
      <c r="E263" s="47"/>
      <c r="F263" s="10"/>
      <c r="G263" s="12">
        <f t="shared" si="12"/>
        <v>199547963</v>
      </c>
      <c r="H263" s="69">
        <f t="shared" si="12"/>
        <v>4733290.55</v>
      </c>
      <c r="I263" s="69">
        <f t="shared" si="12"/>
        <v>194814672.45</v>
      </c>
      <c r="J263" s="69">
        <f t="shared" si="12"/>
        <v>194814672.45</v>
      </c>
      <c r="K263" s="34"/>
      <c r="L263" s="34"/>
    </row>
    <row r="264" spans="1:12" s="35" customFormat="1" ht="56.25" customHeight="1">
      <c r="A264" s="5" t="s">
        <v>101</v>
      </c>
      <c r="B264" s="11"/>
      <c r="C264" s="11"/>
      <c r="D264" s="9" t="s">
        <v>49</v>
      </c>
      <c r="E264" s="47"/>
      <c r="F264" s="10"/>
      <c r="G264" s="12">
        <f>H264+I264</f>
        <v>199547963</v>
      </c>
      <c r="H264" s="69">
        <f>H266+H267</f>
        <v>4733290.55</v>
      </c>
      <c r="I264" s="69">
        <f>I266+I267</f>
        <v>194814672.45</v>
      </c>
      <c r="J264" s="69">
        <f>J266+J267</f>
        <v>194814672.45</v>
      </c>
      <c r="K264" s="34"/>
      <c r="L264" s="34"/>
    </row>
    <row r="265" spans="1:12" s="43" customFormat="1" ht="34.5" customHeight="1">
      <c r="A265" s="5"/>
      <c r="B265" s="5"/>
      <c r="C265" s="5"/>
      <c r="D265" s="9"/>
      <c r="E265" s="47" t="s">
        <v>30</v>
      </c>
      <c r="F265" s="10"/>
      <c r="G265" s="12"/>
      <c r="H265" s="70"/>
      <c r="I265" s="13"/>
      <c r="J265" s="13"/>
      <c r="K265" s="42"/>
      <c r="L265" s="42"/>
    </row>
    <row r="266" spans="1:12" s="43" customFormat="1" ht="67.5" customHeight="1">
      <c r="A266" s="5" t="s">
        <v>158</v>
      </c>
      <c r="B266" s="5" t="s">
        <v>77</v>
      </c>
      <c r="C266" s="5" t="s">
        <v>11</v>
      </c>
      <c r="D266" s="9" t="s">
        <v>129</v>
      </c>
      <c r="E266" s="47"/>
      <c r="F266" s="10"/>
      <c r="G266" s="69">
        <f>H266+I266</f>
        <v>194814672.45</v>
      </c>
      <c r="H266" s="70"/>
      <c r="I266" s="70">
        <f>J266</f>
        <v>194814672.45</v>
      </c>
      <c r="J266" s="70">
        <f>28191001+40918355+97000+59200000+1500000+8753024+30717524+128717+12000000-12000000-1117120.55+3664280+2514197+6063243+1100000+90000+6840452+80000+10000000-3941000+15000</f>
        <v>194814672.45</v>
      </c>
      <c r="K266" s="42"/>
      <c r="L266" s="42"/>
    </row>
    <row r="267" spans="1:12" s="43" customFormat="1" ht="63" customHeight="1">
      <c r="A267" s="5" t="s">
        <v>174</v>
      </c>
      <c r="B267" s="5" t="s">
        <v>175</v>
      </c>
      <c r="C267" s="5" t="s">
        <v>11</v>
      </c>
      <c r="D267" s="9" t="s">
        <v>176</v>
      </c>
      <c r="E267" s="47"/>
      <c r="F267" s="10"/>
      <c r="G267" s="69">
        <f>H267+I267</f>
        <v>4733290.55</v>
      </c>
      <c r="H267" s="70">
        <f>2454953+14000+283731+1117120.55+335000+22998+505488</f>
        <v>4733290.55</v>
      </c>
      <c r="I267" s="13"/>
      <c r="J267" s="13"/>
      <c r="K267" s="7" t="e">
        <f>#REF!</f>
        <v>#REF!</v>
      </c>
      <c r="L267" s="7" t="e">
        <f>#REF!</f>
        <v>#REF!</v>
      </c>
    </row>
    <row r="268" spans="1:12" s="43" customFormat="1" ht="98.25" customHeight="1">
      <c r="A268" s="5"/>
      <c r="B268" s="5"/>
      <c r="C268" s="5"/>
      <c r="D268" s="9"/>
      <c r="E268" s="15" t="s">
        <v>296</v>
      </c>
      <c r="F268" s="6" t="s">
        <v>190</v>
      </c>
      <c r="G268" s="7">
        <f>G269</f>
        <v>304000</v>
      </c>
      <c r="H268" s="16"/>
      <c r="I268" s="16">
        <f>I269</f>
        <v>304000</v>
      </c>
      <c r="J268" s="16"/>
      <c r="K268" s="42"/>
      <c r="L268" s="42"/>
    </row>
    <row r="269" spans="1:12" s="43" customFormat="1" ht="69" customHeight="1">
      <c r="A269" s="19" t="s">
        <v>84</v>
      </c>
      <c r="B269" s="11"/>
      <c r="C269" s="11"/>
      <c r="D269" s="15" t="s">
        <v>49</v>
      </c>
      <c r="E269" s="8"/>
      <c r="F269" s="6"/>
      <c r="G269" s="12">
        <f>G270</f>
        <v>304000</v>
      </c>
      <c r="H269" s="12"/>
      <c r="I269" s="12">
        <f>I270</f>
        <v>304000</v>
      </c>
      <c r="J269" s="13"/>
      <c r="K269" s="42"/>
      <c r="L269" s="42"/>
    </row>
    <row r="270" spans="1:12" s="43" customFormat="1" ht="66.75" customHeight="1">
      <c r="A270" s="5" t="s">
        <v>101</v>
      </c>
      <c r="B270" s="11"/>
      <c r="C270" s="11"/>
      <c r="D270" s="52" t="s">
        <v>49</v>
      </c>
      <c r="E270" s="8"/>
      <c r="F270" s="6"/>
      <c r="G270" s="12">
        <f>H270+I270</f>
        <v>304000</v>
      </c>
      <c r="H270" s="12"/>
      <c r="I270" s="12">
        <f>I272</f>
        <v>304000</v>
      </c>
      <c r="J270" s="13"/>
      <c r="K270" s="42"/>
      <c r="L270" s="42"/>
    </row>
    <row r="271" spans="1:12" s="43" customFormat="1" ht="27.75" customHeight="1">
      <c r="A271" s="5"/>
      <c r="B271" s="5"/>
      <c r="C271" s="5"/>
      <c r="D271" s="9"/>
      <c r="E271" s="9" t="s">
        <v>30</v>
      </c>
      <c r="F271" s="10"/>
      <c r="G271" s="20"/>
      <c r="H271" s="13"/>
      <c r="I271" s="13"/>
      <c r="J271" s="13"/>
      <c r="K271" s="42"/>
      <c r="L271" s="42"/>
    </row>
    <row r="272" spans="1:12" s="43" customFormat="1" ht="202.5" customHeight="1">
      <c r="A272" s="5" t="s">
        <v>138</v>
      </c>
      <c r="B272" s="5" t="s">
        <v>137</v>
      </c>
      <c r="C272" s="5" t="s">
        <v>11</v>
      </c>
      <c r="D272" s="9" t="s">
        <v>147</v>
      </c>
      <c r="E272" s="47"/>
      <c r="F272" s="10"/>
      <c r="G272" s="12">
        <f>H272+I272</f>
        <v>304000</v>
      </c>
      <c r="H272" s="13"/>
      <c r="I272" s="13">
        <v>304000</v>
      </c>
      <c r="J272" s="13"/>
      <c r="K272" s="42"/>
      <c r="L272" s="42"/>
    </row>
    <row r="273" spans="1:12" s="43" customFormat="1" ht="57" customHeight="1">
      <c r="A273" s="5"/>
      <c r="B273" s="5"/>
      <c r="C273" s="5"/>
      <c r="D273" s="9"/>
      <c r="E273" s="15" t="s">
        <v>298</v>
      </c>
      <c r="F273" s="6" t="s">
        <v>243</v>
      </c>
      <c r="G273" s="7">
        <f>G274</f>
        <v>347600</v>
      </c>
      <c r="H273" s="7"/>
      <c r="I273" s="7">
        <f>I274</f>
        <v>347600</v>
      </c>
      <c r="J273" s="13"/>
      <c r="K273" s="42"/>
      <c r="L273" s="42"/>
    </row>
    <row r="274" spans="1:12" s="43" customFormat="1" ht="87.75" customHeight="1">
      <c r="A274" s="19" t="s">
        <v>84</v>
      </c>
      <c r="B274" s="11"/>
      <c r="C274" s="11"/>
      <c r="D274" s="15" t="s">
        <v>49</v>
      </c>
      <c r="E274" s="9"/>
      <c r="F274" s="10"/>
      <c r="G274" s="12">
        <f>G275</f>
        <v>347600</v>
      </c>
      <c r="H274" s="12"/>
      <c r="I274" s="13">
        <f>I275</f>
        <v>347600</v>
      </c>
      <c r="J274" s="13"/>
      <c r="K274" s="42"/>
      <c r="L274" s="42"/>
    </row>
    <row r="275" spans="1:12" s="43" customFormat="1" ht="71.25" customHeight="1">
      <c r="A275" s="5" t="s">
        <v>101</v>
      </c>
      <c r="B275" s="11"/>
      <c r="C275" s="11"/>
      <c r="D275" s="9" t="s">
        <v>49</v>
      </c>
      <c r="E275" s="9"/>
      <c r="F275" s="10"/>
      <c r="G275" s="12">
        <f>H275+I275</f>
        <v>347600</v>
      </c>
      <c r="H275" s="12"/>
      <c r="I275" s="12">
        <f>I277</f>
        <v>347600</v>
      </c>
      <c r="J275" s="13"/>
      <c r="K275" s="42"/>
      <c r="L275" s="42"/>
    </row>
    <row r="276" spans="1:12" s="43" customFormat="1" ht="49.5" customHeight="1">
      <c r="A276" s="5"/>
      <c r="B276" s="11"/>
      <c r="C276" s="11"/>
      <c r="D276" s="9"/>
      <c r="E276" s="9" t="s">
        <v>30</v>
      </c>
      <c r="F276" s="10"/>
      <c r="G276" s="12"/>
      <c r="H276" s="13"/>
      <c r="I276" s="13"/>
      <c r="J276" s="13"/>
      <c r="K276" s="42"/>
      <c r="L276" s="42"/>
    </row>
    <row r="277" spans="1:12" s="43" customFormat="1" ht="195" customHeight="1">
      <c r="A277" s="5" t="s">
        <v>138</v>
      </c>
      <c r="B277" s="5" t="s">
        <v>137</v>
      </c>
      <c r="C277" s="5" t="s">
        <v>11</v>
      </c>
      <c r="D277" s="9" t="s">
        <v>147</v>
      </c>
      <c r="E277" s="9"/>
      <c r="F277" s="10"/>
      <c r="G277" s="12">
        <f>H277+I277</f>
        <v>347600</v>
      </c>
      <c r="H277" s="13"/>
      <c r="I277" s="13">
        <v>347600</v>
      </c>
      <c r="J277" s="13"/>
      <c r="K277" s="42"/>
      <c r="L277" s="42"/>
    </row>
    <row r="278" spans="1:12" s="43" customFormat="1" ht="102.75" customHeight="1">
      <c r="A278" s="5"/>
      <c r="B278" s="5"/>
      <c r="C278" s="5"/>
      <c r="D278" s="9"/>
      <c r="E278" s="15" t="s">
        <v>297</v>
      </c>
      <c r="F278" s="6" t="s">
        <v>233</v>
      </c>
      <c r="G278" s="59">
        <f>G279+G286+G290+G296</f>
        <v>17545215.96</v>
      </c>
      <c r="H278" s="59">
        <f>H279+H286+H290+H296</f>
        <v>8976215.96</v>
      </c>
      <c r="I278" s="7">
        <f>I279+I286+I290+I296</f>
        <v>8569000</v>
      </c>
      <c r="J278" s="7">
        <f>J279+J286+J290+J296</f>
        <v>8569000</v>
      </c>
      <c r="K278" s="7" t="e">
        <f>K296+K279+K286+#REF!</f>
        <v>#REF!</v>
      </c>
      <c r="L278" s="7" t="e">
        <f>L296+L279+L286+#REF!</f>
        <v>#REF!</v>
      </c>
    </row>
    <row r="279" spans="1:12" s="35" customFormat="1" ht="61.5" customHeight="1">
      <c r="A279" s="19" t="s">
        <v>259</v>
      </c>
      <c r="B279" s="55"/>
      <c r="C279" s="55"/>
      <c r="D279" s="15" t="s">
        <v>0</v>
      </c>
      <c r="E279" s="15"/>
      <c r="F279" s="6"/>
      <c r="G279" s="59">
        <f>G280</f>
        <v>9585985.24</v>
      </c>
      <c r="H279" s="59">
        <f>H280</f>
        <v>2865985.2399999998</v>
      </c>
      <c r="I279" s="7">
        <f>I280</f>
        <v>6720000</v>
      </c>
      <c r="J279" s="7">
        <f>J280</f>
        <v>6720000</v>
      </c>
      <c r="K279" s="34"/>
      <c r="L279" s="34"/>
    </row>
    <row r="280" spans="1:12" s="35" customFormat="1" ht="60.75" customHeight="1">
      <c r="A280" s="5" t="s">
        <v>78</v>
      </c>
      <c r="B280" s="11"/>
      <c r="C280" s="11"/>
      <c r="D280" s="9" t="s">
        <v>0</v>
      </c>
      <c r="E280" s="9"/>
      <c r="F280" s="10"/>
      <c r="G280" s="69">
        <f>H280+I280</f>
        <v>9585985.24</v>
      </c>
      <c r="H280" s="69">
        <f>SUM(H282:H285)</f>
        <v>2865985.2399999998</v>
      </c>
      <c r="I280" s="12">
        <f>SUM(I282:I285)</f>
        <v>6720000</v>
      </c>
      <c r="J280" s="12">
        <f>SUM(J282:J285)</f>
        <v>6720000</v>
      </c>
      <c r="K280" s="34"/>
      <c r="L280" s="34"/>
    </row>
    <row r="281" spans="1:12" s="43" customFormat="1" ht="49.5" customHeight="1">
      <c r="A281" s="5"/>
      <c r="B281" s="5"/>
      <c r="C281" s="5"/>
      <c r="D281" s="9"/>
      <c r="E281" s="47" t="s">
        <v>30</v>
      </c>
      <c r="F281" s="10"/>
      <c r="G281" s="12"/>
      <c r="H281" s="13"/>
      <c r="I281" s="13"/>
      <c r="J281" s="13"/>
      <c r="K281" s="42"/>
      <c r="L281" s="42"/>
    </row>
    <row r="282" spans="1:12" s="35" customFormat="1" ht="49.5" customHeight="1">
      <c r="A282" s="5" t="s">
        <v>79</v>
      </c>
      <c r="B282" s="5" t="s">
        <v>32</v>
      </c>
      <c r="C282" s="5" t="s">
        <v>3</v>
      </c>
      <c r="D282" s="9" t="s">
        <v>80</v>
      </c>
      <c r="E282" s="9"/>
      <c r="F282" s="10"/>
      <c r="G282" s="12">
        <f>H282+I282</f>
        <v>7448400</v>
      </c>
      <c r="H282" s="13">
        <f>70000+383800+180000+94600</f>
        <v>728400</v>
      </c>
      <c r="I282" s="13">
        <f>4000000+3220000-500000</f>
        <v>6720000</v>
      </c>
      <c r="J282" s="13">
        <f>I282</f>
        <v>6720000</v>
      </c>
      <c r="K282" s="34"/>
      <c r="L282" s="34"/>
    </row>
    <row r="283" spans="1:12" s="35" customFormat="1" ht="71.25" customHeight="1">
      <c r="A283" s="115" t="s">
        <v>210</v>
      </c>
      <c r="B283" s="116">
        <v>1021</v>
      </c>
      <c r="C283" s="115" t="s">
        <v>4</v>
      </c>
      <c r="D283" s="104" t="s">
        <v>342</v>
      </c>
      <c r="E283" s="9"/>
      <c r="F283" s="10"/>
      <c r="G283" s="69">
        <f>H283+I283</f>
        <v>1973995.2399999998</v>
      </c>
      <c r="H283" s="70">
        <f>133570+1045417+110000+19500+20000+8000+349500+240000+7700+99122.47+65694-34120+199611.77-290000</f>
        <v>1973995.2399999998</v>
      </c>
      <c r="I283" s="13"/>
      <c r="J283" s="13"/>
      <c r="K283" s="34"/>
      <c r="L283" s="34"/>
    </row>
    <row r="284" spans="1:12" s="35" customFormat="1" ht="80.25" customHeight="1">
      <c r="A284" s="115" t="s">
        <v>212</v>
      </c>
      <c r="B284" s="116">
        <v>1070</v>
      </c>
      <c r="C284" s="115" t="s">
        <v>5</v>
      </c>
      <c r="D284" s="101" t="s">
        <v>206</v>
      </c>
      <c r="E284" s="9"/>
      <c r="F284" s="10"/>
      <c r="G284" s="12">
        <f>H284+I284</f>
        <v>155490</v>
      </c>
      <c r="H284" s="13">
        <f>16000+80490+56000-2500+5500</f>
        <v>155490</v>
      </c>
      <c r="I284" s="13"/>
      <c r="J284" s="13"/>
      <c r="K284" s="34"/>
      <c r="L284" s="34"/>
    </row>
    <row r="285" spans="1:12" s="35" customFormat="1" ht="49.5" customHeight="1">
      <c r="A285" s="115" t="s">
        <v>218</v>
      </c>
      <c r="B285" s="116">
        <v>1141</v>
      </c>
      <c r="C285" s="115" t="s">
        <v>6</v>
      </c>
      <c r="D285" s="101" t="s">
        <v>145</v>
      </c>
      <c r="E285" s="9"/>
      <c r="F285" s="10"/>
      <c r="G285" s="12">
        <f>H285+I285</f>
        <v>8100</v>
      </c>
      <c r="H285" s="13">
        <f>7000+1100</f>
        <v>8100</v>
      </c>
      <c r="I285" s="13"/>
      <c r="J285" s="13"/>
      <c r="K285" s="34"/>
      <c r="L285" s="34"/>
    </row>
    <row r="286" spans="1:12" s="35" customFormat="1" ht="51.75" customHeight="1">
      <c r="A286" s="19" t="s">
        <v>51</v>
      </c>
      <c r="B286" s="55"/>
      <c r="C286" s="55"/>
      <c r="D286" s="15" t="s">
        <v>21</v>
      </c>
      <c r="E286" s="15"/>
      <c r="F286" s="6"/>
      <c r="G286" s="7">
        <f>G287</f>
        <v>270300</v>
      </c>
      <c r="H286" s="7">
        <f>H287</f>
        <v>270300</v>
      </c>
      <c r="I286" s="7"/>
      <c r="J286" s="7"/>
      <c r="K286" s="34"/>
      <c r="L286" s="34"/>
    </row>
    <row r="287" spans="1:12" s="35" customFormat="1" ht="54" customHeight="1">
      <c r="A287" s="5" t="s">
        <v>52</v>
      </c>
      <c r="B287" s="11"/>
      <c r="C287" s="11"/>
      <c r="D287" s="47" t="s">
        <v>21</v>
      </c>
      <c r="E287" s="9"/>
      <c r="F287" s="10"/>
      <c r="G287" s="12">
        <f>H287+I287</f>
        <v>270300</v>
      </c>
      <c r="H287" s="12">
        <f>H289</f>
        <v>270300</v>
      </c>
      <c r="I287" s="12"/>
      <c r="J287" s="12"/>
      <c r="K287" s="34"/>
      <c r="L287" s="34"/>
    </row>
    <row r="288" spans="1:12" s="35" customFormat="1" ht="49.5" customHeight="1">
      <c r="A288" s="5"/>
      <c r="B288" s="11"/>
      <c r="C288" s="11"/>
      <c r="D288" s="9"/>
      <c r="E288" s="9" t="s">
        <v>30</v>
      </c>
      <c r="F288" s="10"/>
      <c r="G288" s="12"/>
      <c r="H288" s="13"/>
      <c r="I288" s="13"/>
      <c r="J288" s="13"/>
      <c r="K288" s="34"/>
      <c r="L288" s="34"/>
    </row>
    <row r="289" spans="1:12" s="35" customFormat="1" ht="63.75" customHeight="1">
      <c r="A289" s="5" t="s">
        <v>105</v>
      </c>
      <c r="B289" s="5" t="s">
        <v>54</v>
      </c>
      <c r="C289" s="5" t="s">
        <v>133</v>
      </c>
      <c r="D289" s="9" t="s">
        <v>106</v>
      </c>
      <c r="E289" s="15"/>
      <c r="F289" s="6"/>
      <c r="G289" s="12">
        <f>H289+I289</f>
        <v>270300</v>
      </c>
      <c r="H289" s="13">
        <f>650000-88000-291700</f>
        <v>270300</v>
      </c>
      <c r="I289" s="13"/>
      <c r="J289" s="13"/>
      <c r="K289" s="34"/>
      <c r="L289" s="34"/>
    </row>
    <row r="290" spans="1:12" s="35" customFormat="1" ht="45" customHeight="1">
      <c r="A290" s="19" t="s">
        <v>25</v>
      </c>
      <c r="B290" s="11"/>
      <c r="C290" s="11"/>
      <c r="D290" s="15" t="s">
        <v>1</v>
      </c>
      <c r="E290" s="73"/>
      <c r="F290" s="74"/>
      <c r="G290" s="75">
        <f>G291</f>
        <v>1127819</v>
      </c>
      <c r="H290" s="75">
        <f>H291</f>
        <v>1127819</v>
      </c>
      <c r="I290" s="75"/>
      <c r="J290" s="75"/>
      <c r="K290" s="34"/>
      <c r="L290" s="34"/>
    </row>
    <row r="291" spans="1:12" s="35" customFormat="1" ht="43.5" customHeight="1">
      <c r="A291" s="5" t="s">
        <v>26</v>
      </c>
      <c r="B291" s="11"/>
      <c r="C291" s="11"/>
      <c r="D291" s="9" t="s">
        <v>1</v>
      </c>
      <c r="E291" s="9"/>
      <c r="F291" s="10"/>
      <c r="G291" s="12">
        <f>H291+I291</f>
        <v>1127819</v>
      </c>
      <c r="H291" s="12">
        <f>H293+H294+H295</f>
        <v>1127819</v>
      </c>
      <c r="I291" s="12"/>
      <c r="J291" s="12"/>
      <c r="K291" s="34"/>
      <c r="L291" s="34"/>
    </row>
    <row r="292" spans="1:12" s="35" customFormat="1" ht="37.5" customHeight="1">
      <c r="A292" s="5"/>
      <c r="B292" s="5"/>
      <c r="C292" s="5"/>
      <c r="D292" s="9"/>
      <c r="E292" s="9" t="s">
        <v>30</v>
      </c>
      <c r="F292" s="10"/>
      <c r="G292" s="20"/>
      <c r="H292" s="13"/>
      <c r="I292" s="13"/>
      <c r="J292" s="13"/>
      <c r="K292" s="34"/>
      <c r="L292" s="34"/>
    </row>
    <row r="293" spans="1:12" s="35" customFormat="1" ht="47.25" customHeight="1">
      <c r="A293" s="5" t="s">
        <v>230</v>
      </c>
      <c r="B293" s="5" t="s">
        <v>231</v>
      </c>
      <c r="C293" s="5" t="s">
        <v>5</v>
      </c>
      <c r="D293" s="9" t="s">
        <v>242</v>
      </c>
      <c r="E293" s="9"/>
      <c r="F293" s="10"/>
      <c r="G293" s="12">
        <f>H293+I293</f>
        <v>170000</v>
      </c>
      <c r="H293" s="13">
        <v>170000</v>
      </c>
      <c r="I293" s="13"/>
      <c r="J293" s="13"/>
      <c r="K293" s="34"/>
      <c r="L293" s="34"/>
    </row>
    <row r="294" spans="1:12" s="35" customFormat="1" ht="39" customHeight="1">
      <c r="A294" s="5" t="s">
        <v>163</v>
      </c>
      <c r="B294" s="5" t="s">
        <v>164</v>
      </c>
      <c r="C294" s="93" t="s">
        <v>157</v>
      </c>
      <c r="D294" s="92" t="s">
        <v>193</v>
      </c>
      <c r="E294" s="9"/>
      <c r="F294" s="10"/>
      <c r="G294" s="12">
        <f>H294+I294</f>
        <v>217819</v>
      </c>
      <c r="H294" s="13">
        <v>217819</v>
      </c>
      <c r="I294" s="13"/>
      <c r="J294" s="13"/>
      <c r="K294" s="34"/>
      <c r="L294" s="34"/>
    </row>
    <row r="295" spans="1:12" s="35" customFormat="1" ht="62.25" customHeight="1">
      <c r="A295" s="5" t="s">
        <v>108</v>
      </c>
      <c r="B295" s="5" t="s">
        <v>109</v>
      </c>
      <c r="C295" s="5" t="s">
        <v>110</v>
      </c>
      <c r="D295" s="9" t="s">
        <v>111</v>
      </c>
      <c r="E295" s="9"/>
      <c r="F295" s="10"/>
      <c r="G295" s="12">
        <f>H295+I295</f>
        <v>740000</v>
      </c>
      <c r="H295" s="13">
        <f>300000+440000</f>
        <v>740000</v>
      </c>
      <c r="I295" s="13"/>
      <c r="J295" s="13"/>
      <c r="K295" s="34"/>
      <c r="L295" s="34"/>
    </row>
    <row r="296" spans="1:12" s="43" customFormat="1" ht="56.25" customHeight="1">
      <c r="A296" s="19" t="s">
        <v>55</v>
      </c>
      <c r="B296" s="5"/>
      <c r="C296" s="5"/>
      <c r="D296" s="15" t="s">
        <v>371</v>
      </c>
      <c r="E296" s="9"/>
      <c r="F296" s="10"/>
      <c r="G296" s="7">
        <f>G297</f>
        <v>6561111.72</v>
      </c>
      <c r="H296" s="7">
        <f>H297</f>
        <v>4712111.72</v>
      </c>
      <c r="I296" s="7">
        <f>I297</f>
        <v>1849000</v>
      </c>
      <c r="J296" s="7">
        <f>J297</f>
        <v>1849000</v>
      </c>
      <c r="K296" s="42"/>
      <c r="L296" s="42"/>
    </row>
    <row r="297" spans="1:12" s="43" customFormat="1" ht="60" customHeight="1">
      <c r="A297" s="5" t="s">
        <v>61</v>
      </c>
      <c r="B297" s="5"/>
      <c r="C297" s="5"/>
      <c r="D297" s="9" t="s">
        <v>17</v>
      </c>
      <c r="E297" s="9"/>
      <c r="F297" s="10"/>
      <c r="G297" s="12">
        <f>H297+I297</f>
        <v>6561111.72</v>
      </c>
      <c r="H297" s="12">
        <f>H299+H300+H301+H302</f>
        <v>4712111.72</v>
      </c>
      <c r="I297" s="12">
        <f>I299+I300+I301</f>
        <v>1849000</v>
      </c>
      <c r="J297" s="12">
        <f>J299+J300+J301</f>
        <v>1849000</v>
      </c>
      <c r="K297" s="42"/>
      <c r="L297" s="42"/>
    </row>
    <row r="298" spans="1:12" s="43" customFormat="1" ht="39.75" customHeight="1">
      <c r="A298" s="5"/>
      <c r="B298" s="5"/>
      <c r="C298" s="5"/>
      <c r="D298" s="9"/>
      <c r="E298" s="47" t="s">
        <v>30</v>
      </c>
      <c r="F298" s="10"/>
      <c r="G298" s="12"/>
      <c r="H298" s="13"/>
      <c r="I298" s="13"/>
      <c r="J298" s="13"/>
      <c r="K298" s="42"/>
      <c r="L298" s="42"/>
    </row>
    <row r="299" spans="1:12" s="43" customFormat="1" ht="63" customHeight="1">
      <c r="A299" s="5" t="s">
        <v>90</v>
      </c>
      <c r="B299" s="5" t="s">
        <v>91</v>
      </c>
      <c r="C299" s="5" t="s">
        <v>7</v>
      </c>
      <c r="D299" s="52" t="s">
        <v>131</v>
      </c>
      <c r="E299" s="9"/>
      <c r="F299" s="10"/>
      <c r="G299" s="12">
        <f>H299+I299</f>
        <v>4543000</v>
      </c>
      <c r="H299" s="13">
        <f>746000+308000+1440000+100000+100000</f>
        <v>2694000</v>
      </c>
      <c r="I299" s="13">
        <v>1849000</v>
      </c>
      <c r="J299" s="13">
        <f>I299</f>
        <v>1849000</v>
      </c>
      <c r="K299" s="42"/>
      <c r="L299" s="42"/>
    </row>
    <row r="300" spans="1:12" s="43" customFormat="1" ht="49.5" customHeight="1">
      <c r="A300" s="5" t="s">
        <v>56</v>
      </c>
      <c r="B300" s="5" t="s">
        <v>57</v>
      </c>
      <c r="C300" s="5" t="s">
        <v>7</v>
      </c>
      <c r="D300" s="47" t="s">
        <v>58</v>
      </c>
      <c r="E300" s="9"/>
      <c r="F300" s="10"/>
      <c r="G300" s="69">
        <f>H300+I300</f>
        <v>1057871.72</v>
      </c>
      <c r="H300" s="70">
        <f>1076495-18623.28</f>
        <v>1057871.72</v>
      </c>
      <c r="I300" s="13"/>
      <c r="J300" s="13"/>
      <c r="K300" s="42"/>
      <c r="L300" s="42"/>
    </row>
    <row r="301" spans="1:12" s="43" customFormat="1" ht="49.5" customHeight="1">
      <c r="A301" s="5" t="s">
        <v>92</v>
      </c>
      <c r="B301" s="5" t="s">
        <v>93</v>
      </c>
      <c r="C301" s="5" t="s">
        <v>18</v>
      </c>
      <c r="D301" s="52" t="s">
        <v>132</v>
      </c>
      <c r="E301" s="9"/>
      <c r="F301" s="10"/>
      <c r="G301" s="12">
        <f>H301+I301</f>
        <v>253580</v>
      </c>
      <c r="H301" s="13">
        <v>253580</v>
      </c>
      <c r="I301" s="13"/>
      <c r="J301" s="12"/>
      <c r="K301" s="42"/>
      <c r="L301" s="42"/>
    </row>
    <row r="302" spans="1:12" s="35" customFormat="1" ht="87.75" customHeight="1">
      <c r="A302" s="5" t="s">
        <v>350</v>
      </c>
      <c r="B302" s="5" t="s">
        <v>275</v>
      </c>
      <c r="C302" s="5" t="s">
        <v>18</v>
      </c>
      <c r="D302" s="52" t="s">
        <v>276</v>
      </c>
      <c r="E302" s="9"/>
      <c r="F302" s="10"/>
      <c r="G302" s="12">
        <f>H302+I302</f>
        <v>706660</v>
      </c>
      <c r="H302" s="13">
        <v>706660</v>
      </c>
      <c r="I302" s="13"/>
      <c r="J302" s="13"/>
      <c r="K302" s="34"/>
      <c r="L302" s="34"/>
    </row>
    <row r="303" spans="1:12" s="33" customFormat="1" ht="42" customHeight="1">
      <c r="A303" s="5" t="s">
        <v>322</v>
      </c>
      <c r="B303" s="11" t="s">
        <v>322</v>
      </c>
      <c r="C303" s="11" t="s">
        <v>322</v>
      </c>
      <c r="D303" s="15" t="s">
        <v>323</v>
      </c>
      <c r="E303" s="18" t="s">
        <v>322</v>
      </c>
      <c r="F303" s="18" t="s">
        <v>322</v>
      </c>
      <c r="G303" s="59">
        <f>G12+G22+G36+G42+G47+G17+G52+G57+G62+G67+G73+G79+G88+G94+G103+G108+G123++G137+G150+G159++G187+G193+G204+G220+G239+G247+G252+G257+G262+G268+G273+G278</f>
        <v>923246701.45</v>
      </c>
      <c r="H303" s="59">
        <f>H12+H22+H36+H42+H47+H17+H52+H57+H62+H67+H73+H79+H88+H94+H103+H108+H123++H137+H150+H159++H187+H193+H204+H220+H239+H247+H252+H257+H262+H268+H273+H278</f>
        <v>385512796.97</v>
      </c>
      <c r="I303" s="59">
        <f>I12+I22+I36+I42+I47+I17+I52+I57+I62+I67+I73+I79+I88+I94+I103+I108+I123++I137+I150+I159++I187+I193+I204+I220+I239+I247+I252+I257+I262+I268+I273+I278</f>
        <v>537733904.48</v>
      </c>
      <c r="J303" s="59">
        <f>J12+J22+J36+J42+J47+J17+J52+J57+J62+J67+J73+J79+J88+J94+J103+J108+J123++J137+J150+J159++J187+J193+J204+J220+J239+J247+J252+J257+J262+J268+J273+J278</f>
        <v>330617636.86</v>
      </c>
      <c r="K303" s="25"/>
      <c r="L303" s="25"/>
    </row>
    <row r="304" spans="1:12" ht="14.25" customHeight="1">
      <c r="A304" s="29"/>
      <c r="B304" s="21"/>
      <c r="C304" s="21"/>
      <c r="D304" s="21"/>
      <c r="E304" s="21"/>
      <c r="F304" s="22"/>
      <c r="G304" s="23"/>
      <c r="H304" s="23"/>
      <c r="I304" s="23"/>
      <c r="J304" s="23"/>
      <c r="K304" s="23" t="e">
        <f>#REF!+K12+K22+#REF!+#REF!+#REF!+K17+#REF!+K52+K61+K67+K73+K88+#REF!+K108+K123+K159+K178+K187+K193+K204+#REF!+K220+K239+#REF!+K262+#REF!+K267+#REF!+K278+#REF!</f>
        <v>#REF!</v>
      </c>
      <c r="L304" s="23" t="e">
        <f>#REF!+L12+L22+#REF!+#REF!+#REF!+L17+#REF!+L52+L61+L67+L73+L88+#REF!+L108+L123+L159+L178+L187+L193+L204+#REF!+L220+L239+#REF!+L262+#REF!+L267+#REF!+L278+#REF!</f>
        <v>#REF!</v>
      </c>
    </row>
    <row r="305" spans="1:11" s="45" customFormat="1" ht="45" customHeight="1">
      <c r="A305" s="128" t="s">
        <v>384</v>
      </c>
      <c r="B305" s="128"/>
      <c r="C305" s="128"/>
      <c r="D305" s="128"/>
      <c r="E305" s="128"/>
      <c r="F305" s="58"/>
      <c r="G305" s="79"/>
      <c r="H305" s="79"/>
      <c r="I305" s="79"/>
      <c r="J305" s="79"/>
      <c r="K305" s="44"/>
    </row>
    <row r="306" spans="1:10" ht="18.75">
      <c r="A306" s="30"/>
      <c r="B306" s="24"/>
      <c r="C306" s="24"/>
      <c r="D306" s="24"/>
      <c r="E306" s="24" t="s">
        <v>2</v>
      </c>
      <c r="F306" s="22"/>
      <c r="G306" s="23"/>
      <c r="J306" s="25"/>
    </row>
    <row r="307" spans="1:7" ht="18.75">
      <c r="A307" s="30"/>
      <c r="B307" s="24"/>
      <c r="C307" s="24"/>
      <c r="D307" s="24"/>
      <c r="F307" s="22"/>
      <c r="G307" s="25"/>
    </row>
    <row r="308" spans="1:10" ht="18.75">
      <c r="A308" s="30"/>
      <c r="B308" s="24"/>
      <c r="C308" s="24"/>
      <c r="D308" s="24"/>
      <c r="E308" s="24" t="s">
        <v>2</v>
      </c>
      <c r="F308" s="22"/>
      <c r="G308" s="25"/>
      <c r="I308" s="23"/>
      <c r="J308" s="25"/>
    </row>
    <row r="309" spans="1:6" ht="18.75">
      <c r="A309" s="30"/>
      <c r="B309" s="24"/>
      <c r="C309" s="24"/>
      <c r="D309" s="24"/>
      <c r="F309" s="22"/>
    </row>
    <row r="310" spans="1:6" ht="18.75">
      <c r="A310" s="30"/>
      <c r="B310" s="24"/>
      <c r="C310" s="24"/>
      <c r="D310" s="24"/>
      <c r="F310" s="54"/>
    </row>
    <row r="311" spans="1:6" ht="18.75">
      <c r="A311" s="30"/>
      <c r="B311" s="24"/>
      <c r="C311" s="24"/>
      <c r="D311" s="24"/>
      <c r="E311" s="24" t="s">
        <v>2</v>
      </c>
      <c r="F311" s="54"/>
    </row>
    <row r="312" spans="1:6" ht="18.75">
      <c r="A312" s="30"/>
      <c r="B312" s="24"/>
      <c r="C312" s="24"/>
      <c r="D312" s="24"/>
      <c r="F312" s="22"/>
    </row>
    <row r="313" spans="1:7" ht="18.75">
      <c r="A313" s="30"/>
      <c r="B313" s="24"/>
      <c r="C313" s="24"/>
      <c r="D313" s="24"/>
      <c r="F313" s="22"/>
      <c r="G313" s="25"/>
    </row>
    <row r="314" spans="1:7" ht="18.75">
      <c r="A314" s="30"/>
      <c r="B314" s="24"/>
      <c r="C314" s="24"/>
      <c r="D314" s="24"/>
      <c r="F314" s="22"/>
      <c r="G314" s="25"/>
    </row>
    <row r="315" spans="1:6" ht="18.75">
      <c r="A315" s="30"/>
      <c r="B315" s="24"/>
      <c r="C315" s="24"/>
      <c r="D315" s="24"/>
      <c r="F315" s="22"/>
    </row>
    <row r="316" spans="1:6" ht="18.75">
      <c r="A316" s="30"/>
      <c r="B316" s="24"/>
      <c r="C316" s="24"/>
      <c r="D316" s="24"/>
      <c r="F316" s="22"/>
    </row>
    <row r="317" spans="1:6" ht="18.75">
      <c r="A317" s="30"/>
      <c r="B317" s="24"/>
      <c r="C317" s="24"/>
      <c r="D317" s="24"/>
      <c r="F317" s="22"/>
    </row>
    <row r="318" spans="1:6" ht="18.75">
      <c r="A318" s="30"/>
      <c r="B318" s="24"/>
      <c r="C318" s="24"/>
      <c r="D318" s="24"/>
      <c r="F318" s="22"/>
    </row>
    <row r="319" spans="1:6" ht="18.75">
      <c r="A319" s="30"/>
      <c r="B319" s="24"/>
      <c r="C319" s="24"/>
      <c r="D319" s="24"/>
      <c r="F319" s="22"/>
    </row>
    <row r="320" spans="1:6" ht="18.75">
      <c r="A320" s="30"/>
      <c r="B320" s="24"/>
      <c r="C320" s="24"/>
      <c r="D320" s="24"/>
      <c r="F320" s="22"/>
    </row>
    <row r="321" spans="1:6" ht="18.75">
      <c r="A321" s="30"/>
      <c r="B321" s="24"/>
      <c r="C321" s="24"/>
      <c r="D321" s="24"/>
      <c r="F321" s="22"/>
    </row>
    <row r="322" spans="1:6" ht="18.75">
      <c r="A322" s="30"/>
      <c r="B322" s="24"/>
      <c r="C322" s="24"/>
      <c r="D322" s="24"/>
      <c r="F322" s="22"/>
    </row>
    <row r="323" spans="1:6" ht="18.75">
      <c r="A323" s="30"/>
      <c r="B323" s="24"/>
      <c r="C323" s="24"/>
      <c r="D323" s="24"/>
      <c r="F323" s="22"/>
    </row>
    <row r="324" spans="1:6" ht="18.75">
      <c r="A324" s="30"/>
      <c r="B324" s="24"/>
      <c r="C324" s="24"/>
      <c r="D324" s="24"/>
      <c r="F324" s="22"/>
    </row>
    <row r="325" spans="1:6" ht="18.75">
      <c r="A325" s="30"/>
      <c r="B325" s="24"/>
      <c r="C325" s="24"/>
      <c r="D325" s="24"/>
      <c r="F325" s="22"/>
    </row>
    <row r="326" spans="1:6" ht="18.75">
      <c r="A326" s="30"/>
      <c r="B326" s="24"/>
      <c r="C326" s="24"/>
      <c r="D326" s="24"/>
      <c r="F326" s="22"/>
    </row>
    <row r="327" spans="1:6" ht="18.75">
      <c r="A327" s="30"/>
      <c r="B327" s="24"/>
      <c r="C327" s="24"/>
      <c r="D327" s="24"/>
      <c r="F327" s="22"/>
    </row>
    <row r="328" spans="1:6" ht="18.75">
      <c r="A328" s="30"/>
      <c r="B328" s="24"/>
      <c r="C328" s="24"/>
      <c r="D328" s="24"/>
      <c r="F328" s="22"/>
    </row>
    <row r="329" spans="1:6" ht="18.75">
      <c r="A329" s="30"/>
      <c r="B329" s="24"/>
      <c r="C329" s="24"/>
      <c r="D329" s="24"/>
      <c r="F329" s="22"/>
    </row>
    <row r="330" spans="1:6" ht="18.75">
      <c r="A330" s="30"/>
      <c r="B330" s="24"/>
      <c r="C330" s="24"/>
      <c r="D330" s="24"/>
      <c r="F330" s="22"/>
    </row>
    <row r="331" spans="1:6" ht="18.75">
      <c r="A331" s="30"/>
      <c r="B331" s="24"/>
      <c r="C331" s="24"/>
      <c r="D331" s="24"/>
      <c r="F331" s="22"/>
    </row>
    <row r="332" spans="1:6" ht="18.75">
      <c r="A332" s="30"/>
      <c r="B332" s="24"/>
      <c r="C332" s="24"/>
      <c r="D332" s="24"/>
      <c r="F332" s="22"/>
    </row>
    <row r="333" spans="1:6" ht="18.75">
      <c r="A333" s="30"/>
      <c r="B333" s="24"/>
      <c r="C333" s="24"/>
      <c r="D333" s="24"/>
      <c r="F333" s="22"/>
    </row>
    <row r="334" spans="1:6" ht="18.75">
      <c r="A334" s="30"/>
      <c r="B334" s="24"/>
      <c r="C334" s="24"/>
      <c r="D334" s="24"/>
      <c r="F334" s="22"/>
    </row>
    <row r="335" spans="1:6" ht="18.75">
      <c r="A335" s="30"/>
      <c r="B335" s="24"/>
      <c r="C335" s="24"/>
      <c r="D335" s="24"/>
      <c r="F335" s="22"/>
    </row>
    <row r="336" spans="1:6" ht="18.75">
      <c r="A336" s="30"/>
      <c r="B336" s="24"/>
      <c r="C336" s="24"/>
      <c r="D336" s="24"/>
      <c r="F336" s="22"/>
    </row>
    <row r="337" spans="1:6" ht="18.75">
      <c r="A337" s="30"/>
      <c r="B337" s="24"/>
      <c r="C337" s="24"/>
      <c r="D337" s="24"/>
      <c r="F337" s="22"/>
    </row>
    <row r="338" spans="1:6" ht="18.75">
      <c r="A338" s="30"/>
      <c r="B338" s="24"/>
      <c r="C338" s="24"/>
      <c r="D338" s="24"/>
      <c r="F338" s="22"/>
    </row>
    <row r="339" spans="1:6" ht="18.75">
      <c r="A339" s="30"/>
      <c r="B339" s="24"/>
      <c r="C339" s="24"/>
      <c r="D339" s="24"/>
      <c r="F339" s="22"/>
    </row>
    <row r="340" spans="1:6" ht="18.75">
      <c r="A340" s="30"/>
      <c r="B340" s="24"/>
      <c r="C340" s="24"/>
      <c r="D340" s="24"/>
      <c r="F340" s="22"/>
    </row>
    <row r="341" spans="1:6" ht="18.75">
      <c r="A341" s="30"/>
      <c r="B341" s="24"/>
      <c r="C341" s="24"/>
      <c r="D341" s="24"/>
      <c r="F341" s="22"/>
    </row>
    <row r="342" spans="1:6" ht="18.75">
      <c r="A342" s="30"/>
      <c r="B342" s="24"/>
      <c r="C342" s="24"/>
      <c r="D342" s="24"/>
      <c r="F342" s="22"/>
    </row>
    <row r="343" spans="1:6" ht="18.75">
      <c r="A343" s="30"/>
      <c r="B343" s="24"/>
      <c r="C343" s="24"/>
      <c r="D343" s="24"/>
      <c r="F343" s="22"/>
    </row>
    <row r="344" spans="1:6" ht="18.75">
      <c r="A344" s="30"/>
      <c r="B344" s="24"/>
      <c r="C344" s="24"/>
      <c r="D344" s="24"/>
      <c r="F344" s="22"/>
    </row>
    <row r="345" spans="1:6" ht="18.75">
      <c r="A345" s="30"/>
      <c r="B345" s="24"/>
      <c r="C345" s="24"/>
      <c r="D345" s="24"/>
      <c r="F345" s="22"/>
    </row>
    <row r="346" spans="1:6" ht="18.75">
      <c r="A346" s="30"/>
      <c r="B346" s="24"/>
      <c r="C346" s="24"/>
      <c r="D346" s="24"/>
      <c r="F346" s="22"/>
    </row>
    <row r="347" spans="1:6" ht="18.75">
      <c r="A347" s="30"/>
      <c r="B347" s="24"/>
      <c r="C347" s="24"/>
      <c r="D347" s="24"/>
      <c r="F347" s="22"/>
    </row>
    <row r="348" spans="1:6" ht="18.75">
      <c r="A348" s="30"/>
      <c r="B348" s="24"/>
      <c r="C348" s="24"/>
      <c r="D348" s="24"/>
      <c r="F348" s="22"/>
    </row>
    <row r="349" spans="1:6" ht="18.75">
      <c r="A349" s="30"/>
      <c r="B349" s="24"/>
      <c r="C349" s="24"/>
      <c r="D349" s="24"/>
      <c r="F349" s="22"/>
    </row>
    <row r="350" spans="1:6" ht="18.75">
      <c r="A350" s="30"/>
      <c r="B350" s="24"/>
      <c r="C350" s="24"/>
      <c r="D350" s="24"/>
      <c r="F350" s="22"/>
    </row>
    <row r="351" spans="1:6" ht="18.75">
      <c r="A351" s="30"/>
      <c r="B351" s="24"/>
      <c r="C351" s="24"/>
      <c r="D351" s="24"/>
      <c r="F351" s="22"/>
    </row>
    <row r="352" spans="1:6" ht="18.75">
      <c r="A352" s="30"/>
      <c r="B352" s="24"/>
      <c r="C352" s="24"/>
      <c r="D352" s="24"/>
      <c r="F352" s="22"/>
    </row>
    <row r="353" spans="1:6" ht="18.75">
      <c r="A353" s="30"/>
      <c r="B353" s="24"/>
      <c r="C353" s="24"/>
      <c r="D353" s="24"/>
      <c r="F353" s="22"/>
    </row>
    <row r="354" spans="1:6" ht="18.75">
      <c r="A354" s="30"/>
      <c r="B354" s="24"/>
      <c r="C354" s="24"/>
      <c r="D354" s="24"/>
      <c r="F354" s="22"/>
    </row>
    <row r="355" spans="1:6" ht="18.75">
      <c r="A355" s="30"/>
      <c r="B355" s="24"/>
      <c r="C355" s="24"/>
      <c r="D355" s="24"/>
      <c r="F355" s="22"/>
    </row>
    <row r="356" spans="1:6" ht="18.75">
      <c r="A356" s="30"/>
      <c r="B356" s="24"/>
      <c r="C356" s="24"/>
      <c r="D356" s="24"/>
      <c r="F356" s="26"/>
    </row>
    <row r="357" spans="1:6" ht="18.75">
      <c r="A357" s="30"/>
      <c r="B357" s="24"/>
      <c r="C357" s="24"/>
      <c r="D357" s="24"/>
      <c r="F357" s="26"/>
    </row>
    <row r="358" spans="1:6" ht="18.75">
      <c r="A358" s="30"/>
      <c r="B358" s="24"/>
      <c r="C358" s="24"/>
      <c r="D358" s="24"/>
      <c r="F358" s="26"/>
    </row>
    <row r="359" spans="1:6" ht="18.75">
      <c r="A359" s="30"/>
      <c r="B359" s="24"/>
      <c r="C359" s="24"/>
      <c r="D359" s="24"/>
      <c r="F359" s="26"/>
    </row>
    <row r="360" spans="1:6" ht="18.75">
      <c r="A360" s="30"/>
      <c r="B360" s="24"/>
      <c r="C360" s="24"/>
      <c r="D360" s="24"/>
      <c r="F360" s="26"/>
    </row>
    <row r="361" spans="1:6" ht="18.75">
      <c r="A361" s="30"/>
      <c r="B361" s="24"/>
      <c r="C361" s="24"/>
      <c r="D361" s="24"/>
      <c r="F361" s="26"/>
    </row>
    <row r="362" spans="1:6" ht="18.75">
      <c r="A362" s="30"/>
      <c r="B362" s="24"/>
      <c r="C362" s="24"/>
      <c r="D362" s="24"/>
      <c r="F362" s="26"/>
    </row>
    <row r="363" spans="1:6" ht="18.75">
      <c r="A363" s="30"/>
      <c r="B363" s="24"/>
      <c r="C363" s="24"/>
      <c r="D363" s="24"/>
      <c r="F363" s="26"/>
    </row>
    <row r="364" spans="1:6" ht="18.75">
      <c r="A364" s="30"/>
      <c r="B364" s="24"/>
      <c r="C364" s="24"/>
      <c r="D364" s="24"/>
      <c r="F364" s="26"/>
    </row>
    <row r="365" spans="1:6" ht="18.75">
      <c r="A365" s="30"/>
      <c r="B365" s="24"/>
      <c r="C365" s="24"/>
      <c r="D365" s="24"/>
      <c r="F365" s="26"/>
    </row>
    <row r="366" spans="1:6" ht="18.75">
      <c r="A366" s="30"/>
      <c r="B366" s="24"/>
      <c r="C366" s="24"/>
      <c r="D366" s="24"/>
      <c r="F366" s="26"/>
    </row>
    <row r="367" spans="1:6" ht="18.75">
      <c r="A367" s="30"/>
      <c r="B367" s="24"/>
      <c r="C367" s="24"/>
      <c r="D367" s="24"/>
      <c r="F367" s="26"/>
    </row>
    <row r="368" spans="1:6" ht="18.75">
      <c r="A368" s="30"/>
      <c r="B368" s="24"/>
      <c r="C368" s="24"/>
      <c r="D368" s="24"/>
      <c r="F368" s="26"/>
    </row>
    <row r="369" spans="1:6" ht="18.75">
      <c r="A369" s="30"/>
      <c r="B369" s="24"/>
      <c r="C369" s="24"/>
      <c r="D369" s="24"/>
      <c r="F369" s="26"/>
    </row>
    <row r="370" spans="1:6" ht="18.75">
      <c r="A370" s="30"/>
      <c r="B370" s="24"/>
      <c r="C370" s="24"/>
      <c r="D370" s="24"/>
      <c r="F370" s="26"/>
    </row>
    <row r="371" spans="1:6" ht="18.75">
      <c r="A371" s="30"/>
      <c r="B371" s="24"/>
      <c r="C371" s="24"/>
      <c r="D371" s="24"/>
      <c r="F371" s="26"/>
    </row>
    <row r="372" spans="1:6" ht="18.75">
      <c r="A372" s="30"/>
      <c r="B372" s="24"/>
      <c r="C372" s="24"/>
      <c r="D372" s="24"/>
      <c r="F372" s="26"/>
    </row>
    <row r="373" spans="1:6" ht="18.75">
      <c r="A373" s="30"/>
      <c r="B373" s="24"/>
      <c r="C373" s="24"/>
      <c r="D373" s="24"/>
      <c r="F373" s="26"/>
    </row>
    <row r="374" spans="1:6" ht="18.75">
      <c r="A374" s="30"/>
      <c r="B374" s="24"/>
      <c r="C374" s="24"/>
      <c r="D374" s="24"/>
      <c r="F374" s="26"/>
    </row>
    <row r="375" spans="1:6" ht="18.75">
      <c r="A375" s="30"/>
      <c r="B375" s="24"/>
      <c r="C375" s="24"/>
      <c r="D375" s="24"/>
      <c r="F375" s="26"/>
    </row>
    <row r="376" spans="1:6" ht="18.75">
      <c r="A376" s="30"/>
      <c r="B376" s="24"/>
      <c r="C376" s="24"/>
      <c r="D376" s="24"/>
      <c r="F376" s="26"/>
    </row>
    <row r="377" spans="1:6" ht="18.75">
      <c r="A377" s="30"/>
      <c r="B377" s="24"/>
      <c r="C377" s="24"/>
      <c r="D377" s="24"/>
      <c r="F377" s="26"/>
    </row>
    <row r="378" spans="1:6" ht="18.75">
      <c r="A378" s="30"/>
      <c r="B378" s="24"/>
      <c r="C378" s="24"/>
      <c r="D378" s="24"/>
      <c r="F378" s="26"/>
    </row>
    <row r="379" spans="1:6" ht="18.75">
      <c r="A379" s="30"/>
      <c r="B379" s="24"/>
      <c r="C379" s="24"/>
      <c r="D379" s="24"/>
      <c r="F379" s="26"/>
    </row>
    <row r="380" spans="1:6" ht="18.75">
      <c r="A380" s="30"/>
      <c r="B380" s="24"/>
      <c r="C380" s="24"/>
      <c r="D380" s="24"/>
      <c r="F380" s="26"/>
    </row>
    <row r="381" spans="1:6" ht="18.75">
      <c r="A381" s="30"/>
      <c r="B381" s="24"/>
      <c r="C381" s="24"/>
      <c r="D381" s="24"/>
      <c r="F381" s="26"/>
    </row>
    <row r="382" spans="1:6" ht="18.75">
      <c r="A382" s="30"/>
      <c r="B382" s="24"/>
      <c r="C382" s="24"/>
      <c r="D382" s="24"/>
      <c r="F382" s="26"/>
    </row>
    <row r="383" spans="1:6" ht="18.75">
      <c r="A383" s="30"/>
      <c r="B383" s="24"/>
      <c r="C383" s="24"/>
      <c r="D383" s="24"/>
      <c r="F383" s="26"/>
    </row>
    <row r="384" spans="1:6" ht="18.75">
      <c r="A384" s="30"/>
      <c r="B384" s="24"/>
      <c r="C384" s="24"/>
      <c r="D384" s="24"/>
      <c r="F384" s="26"/>
    </row>
    <row r="385" spans="1:6" ht="18.75">
      <c r="A385" s="30"/>
      <c r="B385" s="24"/>
      <c r="C385" s="24"/>
      <c r="D385" s="24"/>
      <c r="F385" s="26"/>
    </row>
    <row r="386" spans="1:6" ht="18.75">
      <c r="A386" s="30"/>
      <c r="B386" s="24"/>
      <c r="C386" s="24"/>
      <c r="D386" s="24"/>
      <c r="F386" s="26"/>
    </row>
    <row r="387" spans="1:6" ht="18.75">
      <c r="A387" s="30"/>
      <c r="B387" s="24"/>
      <c r="C387" s="24"/>
      <c r="D387" s="24"/>
      <c r="F387" s="26"/>
    </row>
    <row r="388" spans="1:6" ht="18.75">
      <c r="A388" s="30"/>
      <c r="B388" s="24"/>
      <c r="C388" s="24"/>
      <c r="D388" s="24"/>
      <c r="F388" s="26"/>
    </row>
    <row r="389" spans="1:6" ht="18.75">
      <c r="A389" s="30"/>
      <c r="B389" s="24"/>
      <c r="C389" s="24"/>
      <c r="D389" s="24"/>
      <c r="F389" s="26"/>
    </row>
    <row r="390" ht="18.75">
      <c r="F390" s="26"/>
    </row>
    <row r="391" ht="18.75">
      <c r="F391" s="26"/>
    </row>
    <row r="392" ht="18.75">
      <c r="F392" s="26"/>
    </row>
    <row r="393" ht="18.75">
      <c r="F393" s="26"/>
    </row>
    <row r="394" ht="18.75">
      <c r="F394" s="26"/>
    </row>
    <row r="395" ht="18.75">
      <c r="F395" s="26"/>
    </row>
    <row r="396" ht="18.75">
      <c r="F396" s="26"/>
    </row>
    <row r="397" ht="18.75">
      <c r="F397" s="26"/>
    </row>
    <row r="398" ht="18.75">
      <c r="F398" s="26"/>
    </row>
    <row r="399" ht="18.75">
      <c r="F399" s="26"/>
    </row>
    <row r="400" ht="18.75">
      <c r="F400" s="26"/>
    </row>
    <row r="401" ht="18.75">
      <c r="F401" s="26"/>
    </row>
    <row r="402" ht="18.75">
      <c r="F402" s="26"/>
    </row>
    <row r="403" ht="18.75">
      <c r="F403" s="26"/>
    </row>
    <row r="404" ht="18.75">
      <c r="F404" s="26"/>
    </row>
    <row r="405" ht="18.75">
      <c r="F405" s="26"/>
    </row>
    <row r="406" ht="18.75">
      <c r="F406" s="26"/>
    </row>
    <row r="407" ht="18.75">
      <c r="F407" s="26"/>
    </row>
    <row r="408" ht="18.75">
      <c r="F408" s="26"/>
    </row>
    <row r="409" ht="18.75">
      <c r="F409" s="26"/>
    </row>
    <row r="410" ht="18.75">
      <c r="F410" s="26"/>
    </row>
    <row r="411" ht="18.75">
      <c r="F411" s="26"/>
    </row>
    <row r="412" ht="18.75">
      <c r="F412" s="26"/>
    </row>
    <row r="413" ht="18.75">
      <c r="F413" s="26"/>
    </row>
    <row r="414" ht="18.75">
      <c r="F414" s="26"/>
    </row>
    <row r="415" ht="18.75">
      <c r="F415" s="26"/>
    </row>
    <row r="416" ht="18.75">
      <c r="F416" s="26"/>
    </row>
    <row r="417" ht="18.75">
      <c r="F417" s="26"/>
    </row>
    <row r="418" ht="18.75">
      <c r="F418" s="26"/>
    </row>
    <row r="419" ht="18.75">
      <c r="F419" s="26"/>
    </row>
    <row r="420" ht="18.75">
      <c r="F420" s="26"/>
    </row>
    <row r="421" ht="18.75">
      <c r="F421" s="26"/>
    </row>
    <row r="422" ht="18.75">
      <c r="F422" s="26"/>
    </row>
    <row r="423" ht="18.75">
      <c r="F423" s="26"/>
    </row>
    <row r="424" ht="18.75">
      <c r="F424" s="26"/>
    </row>
    <row r="425" ht="18.75">
      <c r="F425" s="26"/>
    </row>
    <row r="426" ht="18.75">
      <c r="F426" s="26"/>
    </row>
    <row r="427" ht="18.75">
      <c r="F427" s="26"/>
    </row>
    <row r="428" ht="18.75">
      <c r="F428" s="26"/>
    </row>
    <row r="429" ht="18.75">
      <c r="F429" s="26"/>
    </row>
    <row r="430" ht="18.75">
      <c r="F430" s="26"/>
    </row>
  </sheetData>
  <sheetProtection/>
  <mergeCells count="15">
    <mergeCell ref="A305:E305"/>
    <mergeCell ref="A8:J8"/>
    <mergeCell ref="E10:E11"/>
    <mergeCell ref="D10:D11"/>
    <mergeCell ref="I10:J10"/>
    <mergeCell ref="A10:A11"/>
    <mergeCell ref="B10:B11"/>
    <mergeCell ref="F10:F11"/>
    <mergeCell ref="D4:E4"/>
    <mergeCell ref="A5:J5"/>
    <mergeCell ref="C10:C11"/>
    <mergeCell ref="H10:H11"/>
    <mergeCell ref="G10:G11"/>
    <mergeCell ref="A6:J6"/>
    <mergeCell ref="A7:J7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Gorfin</dc:creator>
  <cp:keywords/>
  <dc:description/>
  <cp:lastModifiedBy>Компьютер</cp:lastModifiedBy>
  <cp:lastPrinted>2023-09-19T05:16:03Z</cp:lastPrinted>
  <dcterms:created xsi:type="dcterms:W3CDTF">2008-01-14T06:56:18Z</dcterms:created>
  <dcterms:modified xsi:type="dcterms:W3CDTF">2023-09-26T12:25:57Z</dcterms:modified>
  <cp:category/>
  <cp:version/>
  <cp:contentType/>
  <cp:contentStatus/>
</cp:coreProperties>
</file>