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45" windowWidth="14805" windowHeight="7470" firstSheet="1" activeTab="1"/>
  </bookViews>
  <sheets>
    <sheet name="Лист2" sheetId="2" state="hidden" r:id="rId1"/>
    <sheet name="ІІІ кв.2025" sheetId="5" r:id="rId2"/>
  </sheets>
  <definedNames>
    <definedName name="_xlnm.Print_Area" localSheetId="1">'ІІІ кв.2025'!$A$1:$K$80</definedName>
  </definedNames>
  <calcPr calcId="145621"/>
</workbook>
</file>

<file path=xl/calcChain.xml><?xml version="1.0" encoding="utf-8"?>
<calcChain xmlns="http://schemas.openxmlformats.org/spreadsheetml/2006/main">
  <c r="D72" i="5" l="1"/>
  <c r="D71" i="5"/>
  <c r="D70" i="5"/>
  <c r="D69" i="5"/>
  <c r="D68" i="5"/>
  <c r="D67" i="5"/>
  <c r="D66" i="5"/>
  <c r="D65" i="5"/>
  <c r="D64" i="5"/>
  <c r="D63" i="5"/>
  <c r="D62" i="5"/>
  <c r="D61" i="5"/>
  <c r="F61" i="5" s="1"/>
  <c r="J61" i="5" s="1"/>
  <c r="D60" i="5"/>
  <c r="D59" i="5"/>
  <c r="F59" i="5" s="1"/>
  <c r="J59" i="5" s="1"/>
  <c r="D58" i="5"/>
  <c r="D57" i="5"/>
  <c r="D56" i="5"/>
  <c r="D55" i="5"/>
  <c r="D54" i="5"/>
  <c r="D53" i="5"/>
  <c r="F53" i="5" s="1"/>
  <c r="J53" i="5" s="1"/>
  <c r="D52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F32" i="5" s="1"/>
  <c r="J32" i="5" s="1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0" i="5"/>
  <c r="D9" i="5"/>
  <c r="D8" i="5"/>
  <c r="D7" i="5"/>
  <c r="D6" i="5"/>
  <c r="D5" i="5"/>
  <c r="I7" i="5"/>
  <c r="F7" i="5"/>
  <c r="J7" i="5" s="1"/>
  <c r="I70" i="5"/>
  <c r="F70" i="5"/>
  <c r="J70" i="5" s="1"/>
  <c r="I69" i="5"/>
  <c r="F69" i="5"/>
  <c r="J69" i="5" s="1"/>
  <c r="I71" i="5"/>
  <c r="F71" i="5"/>
  <c r="J71" i="5" s="1"/>
  <c r="I45" i="5"/>
  <c r="F45" i="5"/>
  <c r="J45" i="5" s="1"/>
  <c r="I44" i="5"/>
  <c r="F44" i="5"/>
  <c r="J44" i="5" s="1"/>
  <c r="I43" i="5"/>
  <c r="F43" i="5"/>
  <c r="J43" i="5" s="1"/>
  <c r="I42" i="5"/>
  <c r="F42" i="5"/>
  <c r="J42" i="5" s="1"/>
  <c r="I41" i="5"/>
  <c r="F41" i="5"/>
  <c r="J41" i="5" s="1"/>
  <c r="I40" i="5"/>
  <c r="F40" i="5"/>
  <c r="J40" i="5" s="1"/>
  <c r="I48" i="5"/>
  <c r="F48" i="5"/>
  <c r="J48" i="5" s="1"/>
  <c r="I47" i="5"/>
  <c r="F47" i="5"/>
  <c r="J47" i="5" s="1"/>
  <c r="I46" i="5"/>
  <c r="F46" i="5"/>
  <c r="J46" i="5" s="1"/>
  <c r="F33" i="5"/>
  <c r="J33" i="5" s="1"/>
  <c r="F31" i="5"/>
  <c r="J31" i="5" s="1"/>
  <c r="I33" i="5"/>
  <c r="I32" i="5"/>
  <c r="I31" i="5"/>
  <c r="I30" i="5"/>
  <c r="F30" i="5"/>
  <c r="J30" i="5" s="1"/>
  <c r="I35" i="5"/>
  <c r="F35" i="5"/>
  <c r="J35" i="5" s="1"/>
  <c r="I34" i="5"/>
  <c r="F34" i="5"/>
  <c r="J34" i="5" s="1"/>
  <c r="I29" i="5"/>
  <c r="F29" i="5"/>
  <c r="J29" i="5" s="1"/>
  <c r="F27" i="5"/>
  <c r="J27" i="5" s="1"/>
  <c r="I27" i="5"/>
  <c r="I26" i="5"/>
  <c r="F26" i="5"/>
  <c r="J26" i="5" s="1"/>
  <c r="F25" i="5"/>
  <c r="J25" i="5" s="1"/>
  <c r="F24" i="5"/>
  <c r="J24" i="5" s="1"/>
  <c r="I25" i="5"/>
  <c r="I24" i="5"/>
  <c r="I28" i="5"/>
  <c r="F28" i="5"/>
  <c r="J28" i="5" s="1"/>
  <c r="I23" i="5"/>
  <c r="F23" i="5"/>
  <c r="J23" i="5" s="1"/>
  <c r="I22" i="5"/>
  <c r="F22" i="5"/>
  <c r="J22" i="5" s="1"/>
  <c r="I21" i="5"/>
  <c r="F21" i="5"/>
  <c r="J21" i="5" s="1"/>
  <c r="I55" i="5"/>
  <c r="I56" i="5"/>
  <c r="I57" i="5"/>
  <c r="I58" i="5"/>
  <c r="I59" i="5"/>
  <c r="I60" i="5"/>
  <c r="F58" i="5"/>
  <c r="J58" i="5" s="1"/>
  <c r="I61" i="5"/>
  <c r="F60" i="5"/>
  <c r="J60" i="5" s="1"/>
  <c r="F57" i="5"/>
  <c r="J57" i="5" s="1"/>
  <c r="F56" i="5"/>
  <c r="J56" i="5" s="1"/>
  <c r="F55" i="5"/>
  <c r="J55" i="5" s="1"/>
  <c r="I53" i="5"/>
  <c r="I52" i="5"/>
  <c r="F52" i="5"/>
  <c r="J52" i="5" s="1"/>
  <c r="I54" i="5"/>
  <c r="F54" i="5"/>
  <c r="J54" i="5" s="1"/>
  <c r="I37" i="5" l="1"/>
  <c r="F37" i="5"/>
  <c r="J37" i="5" s="1"/>
  <c r="I68" i="5"/>
  <c r="F68" i="5"/>
  <c r="J68" i="5" s="1"/>
  <c r="I63" i="5" l="1"/>
  <c r="F63" i="5"/>
  <c r="J63" i="5" s="1"/>
  <c r="I66" i="5"/>
  <c r="F66" i="5"/>
  <c r="J66" i="5" s="1"/>
  <c r="I65" i="5"/>
  <c r="F65" i="5"/>
  <c r="J65" i="5" s="1"/>
  <c r="I67" i="5"/>
  <c r="F67" i="5"/>
  <c r="J67" i="5" s="1"/>
  <c r="I64" i="5"/>
  <c r="F64" i="5"/>
  <c r="J64" i="5" s="1"/>
  <c r="I62" i="5" l="1"/>
  <c r="F62" i="5"/>
  <c r="J62" i="5" s="1"/>
  <c r="F50" i="5"/>
  <c r="F51" i="5"/>
  <c r="J51" i="5" s="1"/>
  <c r="I51" i="5"/>
  <c r="I50" i="5"/>
  <c r="I20" i="5" l="1"/>
  <c r="F20" i="5"/>
  <c r="J20" i="5" s="1"/>
  <c r="I19" i="5"/>
  <c r="F19" i="5"/>
  <c r="J19" i="5" s="1"/>
  <c r="I18" i="5"/>
  <c r="F18" i="5"/>
  <c r="J18" i="5" s="1"/>
  <c r="I14" i="5"/>
  <c r="F14" i="5"/>
  <c r="J14" i="5" s="1"/>
  <c r="I13" i="5"/>
  <c r="F13" i="5"/>
  <c r="J13" i="5" s="1"/>
  <c r="I16" i="5"/>
  <c r="F16" i="5"/>
  <c r="J16" i="5" s="1"/>
  <c r="I15" i="5"/>
  <c r="F15" i="5"/>
  <c r="J15" i="5" s="1"/>
  <c r="I17" i="5"/>
  <c r="F17" i="5"/>
  <c r="J17" i="5" s="1"/>
  <c r="I12" i="5"/>
  <c r="F12" i="5"/>
  <c r="J12" i="5" s="1"/>
  <c r="I11" i="5"/>
  <c r="F11" i="5"/>
  <c r="J11" i="5" s="1"/>
  <c r="I10" i="5"/>
  <c r="F10" i="5"/>
  <c r="J10" i="5" s="1"/>
  <c r="I9" i="5"/>
  <c r="F9" i="5"/>
  <c r="J9" i="5" s="1"/>
  <c r="I72" i="5"/>
  <c r="F72" i="5"/>
  <c r="D73" i="5" l="1"/>
  <c r="J72" i="5" l="1"/>
  <c r="F38" i="5" l="1"/>
  <c r="I38" i="5"/>
  <c r="J38" i="5"/>
  <c r="F39" i="5"/>
  <c r="J39" i="5" s="1"/>
  <c r="I39" i="5"/>
  <c r="I8" i="5"/>
  <c r="F8" i="5"/>
  <c r="J8" i="5" s="1"/>
  <c r="F36" i="5" l="1"/>
  <c r="F49" i="5"/>
  <c r="J50" i="5" l="1"/>
  <c r="I49" i="5" l="1"/>
  <c r="J49" i="5"/>
  <c r="I36" i="5"/>
  <c r="J36" i="5"/>
  <c r="F6" i="5" l="1"/>
  <c r="J6" i="5" s="1"/>
  <c r="I6" i="5"/>
  <c r="F5" i="5" l="1"/>
  <c r="I5" i="5"/>
  <c r="F73" i="5" l="1"/>
  <c r="J5" i="5"/>
  <c r="J73" i="5" l="1"/>
</calcChain>
</file>

<file path=xl/sharedStrings.xml><?xml version="1.0" encoding="utf-8"?>
<sst xmlns="http://schemas.openxmlformats.org/spreadsheetml/2006/main" count="498" uniqueCount="72">
  <si>
    <t>Інформація про використання благодійних пожертв від фізичних та юридичних осіб</t>
  </si>
  <si>
    <t>Період</t>
  </si>
  <si>
    <t>Найменування юридичної особи(або позначення фізичної особи)</t>
  </si>
  <si>
    <t>Благодійні пожертви, що були отримані закладом охорони здоров'я від фізичних та юридичних осіб</t>
  </si>
  <si>
    <t>В грошовій формі, тис.грн.</t>
  </si>
  <si>
    <t>Перелік товарів і послуг в натуральнній формі</t>
  </si>
  <si>
    <t>Всього товарів і послуг в натуральній формі</t>
  </si>
  <si>
    <t>Використання закладом охорони здоров'я благодійних пожертв, отриманих у грошовій та натуральній(товари і послуги) формі</t>
  </si>
  <si>
    <t>Сума, тис.грн.</t>
  </si>
  <si>
    <t>Перелік використаних товарів та послуг у натуральній формі</t>
  </si>
  <si>
    <t>Сума, тис. грн.</t>
  </si>
  <si>
    <t>Залишок невикорастаних грошових коштів, товарів та послуг на кінець звітного періоду, тис. грн.</t>
  </si>
  <si>
    <t>Благодійний фонд Здоров'я</t>
  </si>
  <si>
    <t>-</t>
  </si>
  <si>
    <t>В натуральній формі (товари і послуги), тис.грн.</t>
  </si>
  <si>
    <t>Напрямки використання у грошовій формі (стаття витрат)</t>
  </si>
  <si>
    <t>(підпис)</t>
  </si>
  <si>
    <t>Бухгалтер</t>
  </si>
  <si>
    <r>
      <t xml:space="preserve">    </t>
    </r>
    <r>
      <rPr>
        <u/>
        <sz val="12"/>
        <color indexed="8"/>
        <rFont val="Times New Roman"/>
        <family val="1"/>
        <charset val="204"/>
      </rPr>
      <t xml:space="preserve">        Світлана ПАЩЕНКО       </t>
    </r>
    <r>
      <rPr>
        <sz val="12"/>
        <color indexed="8"/>
        <rFont val="Times New Roman"/>
        <family val="1"/>
        <charset val="204"/>
      </rPr>
      <t xml:space="preserve"> </t>
    </r>
  </si>
  <si>
    <r>
      <t xml:space="preserve">      </t>
    </r>
    <r>
      <rPr>
        <u/>
        <sz val="12"/>
        <color indexed="8"/>
        <rFont val="Times New Roman"/>
        <family val="1"/>
        <charset val="204"/>
      </rPr>
      <t xml:space="preserve">     Ірина ЖИЦЬКА                </t>
    </r>
  </si>
  <si>
    <t>Благодіна допомога від БФ "Лікарі без кордонів"</t>
  </si>
  <si>
    <r>
      <t xml:space="preserve">     </t>
    </r>
    <r>
      <rPr>
        <u/>
        <sz val="12"/>
        <color indexed="8"/>
        <rFont val="Times New Roman"/>
        <family val="1"/>
        <charset val="204"/>
      </rPr>
      <t xml:space="preserve">      Катерина БАКАНОВА      </t>
    </r>
  </si>
  <si>
    <t>Ебрантил р-н д/ін. 5мг/мл по 10мг (50мг) в амп. №5</t>
  </si>
  <si>
    <t>Благодійна допомога від фіз.особи</t>
  </si>
  <si>
    <r>
      <t xml:space="preserve">КНП" Павлоградська  лікарня інтенсивного лікування" ПМР" </t>
    </r>
    <r>
      <rPr>
        <b/>
        <sz val="14"/>
        <color indexed="8"/>
        <rFont val="Times New Roman"/>
        <family val="1"/>
        <charset val="204"/>
      </rPr>
      <t xml:space="preserve">за ІІІ квартал </t>
    </r>
    <r>
      <rPr>
        <sz val="14"/>
        <color indexed="8"/>
        <rFont val="Times New Roman"/>
        <family val="1"/>
        <charset val="204"/>
      </rPr>
      <t>2025 року</t>
    </r>
  </si>
  <si>
    <t>липень</t>
  </si>
  <si>
    <t>серпень</t>
  </si>
  <si>
    <t>вересень</t>
  </si>
  <si>
    <t>Послуги централізованого спостереження за станом тривожної сигналізації та реагування ГШР ПЦО на відповідні сигнали на об'єкті</t>
  </si>
  <si>
    <t>Послуги з озеленення території та утримання зелених насаджень</t>
  </si>
  <si>
    <t>Опосвідчення кисневого балона (40л без заміни вентиля)</t>
  </si>
  <si>
    <t>Формалін 37% по 5.5 кг</t>
  </si>
  <si>
    <t>Дренаж типу `Редон`Fr18</t>
  </si>
  <si>
    <t>Мікропробірка "Альбамед" тип Еллендорф, 2мл ПП, 500 шт/паков</t>
  </si>
  <si>
    <t>Наконечники "Альбамед" тип Гілсон, універсальні 1000 мкл, синя, ПП 500шт/пак</t>
  </si>
  <si>
    <t>Книга реєстрації вхідн. документів</t>
  </si>
  <si>
    <t>Книга реєстрації вихідн. документів</t>
  </si>
  <si>
    <t>Агар Сабуро /  Чашка Петрі</t>
  </si>
  <si>
    <t>Диски Азтреонам АТМ (30 мкг)</t>
  </si>
  <si>
    <t>Диски Бензилпеніцилін Р 1 IU</t>
  </si>
  <si>
    <t>Диски Норфлоксацин NOR (10 мкг)</t>
  </si>
  <si>
    <t>Диски Оксацилін  ОХ (1 мкг)</t>
  </si>
  <si>
    <t>Кисень газоподібний медичний 40л</t>
  </si>
  <si>
    <t>Морозильна скриня Grunhelm GCFW 380</t>
  </si>
  <si>
    <t>в.о. директора</t>
  </si>
  <si>
    <t xml:space="preserve">            в.о. головного бухгалтера</t>
  </si>
  <si>
    <t>Брилінта по 90мг.14 табл.у блістері</t>
  </si>
  <si>
    <t>Благодійна допомога від КНП "Криворізька міська лікарня № 7" КМР</t>
  </si>
  <si>
    <t>Набір імплантів для остеосинтезу перелому ключиці: пластина, титан; блокуючий гвинт, шестигранник, титан; кортикальний гвинт, титан</t>
  </si>
  <si>
    <t>Резолют Інтегріті коронарна стент-система з покриттям зотаролімус</t>
  </si>
  <si>
    <t>Соляріс балонний дилятаційний катетер швидкої заміни</t>
  </si>
  <si>
    <t>Набір імплантів для остеосинтезу перелому ключиці: ключна пластина, права, титан; блокуючий гвинт, шестигранник, титан; кортикальний гвинт</t>
  </si>
  <si>
    <t>ELUTAX "3" - RX-C балонний катетер для дилатації коронарних судин з лікарським покриттям</t>
  </si>
  <si>
    <t>Набір імплантів для остеосинтезу пошкодження променевої кістки: пластина, титан; блокуючий гвинт, шестигранник, титан; кортикальний гвинт</t>
  </si>
  <si>
    <t>Набір імплантів для остеосинтезу пошкодження лівої ключиці: ключна пластина, ліва, титан; блокуючий гвинт, шестигранник, титан; кортикальний гвинт</t>
  </si>
  <si>
    <t>Інфляційний пристрій BID5 (20мл.30 атм.)</t>
  </si>
  <si>
    <t>Провідник коронарний Boston Scientific PT2 light support</t>
  </si>
  <si>
    <t>Набір імплантів для остеосинтезу перелому п'ясткової кістки: пластина, титан; блокуючий гвинт, шнстигранник, титан; кортикальний гвинт</t>
  </si>
  <si>
    <t>EMEQCCOLPAL/Комір шийний педіатр. регульований шт.</t>
  </si>
  <si>
    <t>SINSCVCAT720/Набір центрального венозного катетера, 3 люмели, СН7-7,5х 15-20 см/60809</t>
  </si>
  <si>
    <t>SCTDCAUR06F Сечовий катетер, FOLEY 2 ходовий, балонний, стерильний, su, CH06 52953</t>
  </si>
  <si>
    <t>SCTDCAUR08F Сечовий катетер, FOLEY 2 ходовий, балонний, стерильний, су, CH08 52953</t>
  </si>
  <si>
    <t>SCTDCAUR10F Катетер-балон, Фолея 2 ходовий, уретральний, стерильний, одноразовий, CH10 52953</t>
  </si>
  <si>
    <t>Набір імплантів для остеосинтезу пошкодження ключиці: ключна пластина, титан; блокуючий гвинт, шестигранник, титан; кортикальний гвинт</t>
  </si>
  <si>
    <t>Набір імплантів для остеосинтезу пошкодження ключиці: Ключна пластина Hook, титан; блокуючий гвинт, шестигранник, титан; кортикальний гвинт</t>
  </si>
  <si>
    <t>Провідник коронарний Boston Scientific PT2 Moderate support</t>
  </si>
  <si>
    <t>Набір імплантів для остеосинтезу перелому променевої кістки: пластина, титан; блокуючий гвинт, шестигранник, титан; кортикальний гвинт, титан</t>
  </si>
  <si>
    <t>Набір імплантів для остеосинтезу перелому плюсневої кістки: пластина, титан; блокуючий гвинт, шестигранник, титан; кортикальний гвинт, титан</t>
  </si>
  <si>
    <t>Актилізе ліофілізат для розчину для внутрішньовенних інфузій 50мг</t>
  </si>
  <si>
    <t>Бензин А-95</t>
  </si>
  <si>
    <t>Анестезіологічний візок, з портиком</t>
  </si>
  <si>
    <t>Благодійна допомога від Організація "ЛІКАРІ БЕЗ КОРДОНІВ"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</si>
</sst>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1" fillId="0" borderId="0" applyFill="0" applyProtection="0"/>
    <xf numFmtId="0" fontId="12" fillId="0" borderId="0" applyFill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14" fillId="2" borderId="9" xfId="0" applyFont="1" applyFill="1" applyBorder="1" applyAlignment="1" applyProtection="1">
      <alignment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13" fillId="2" borderId="1" xfId="0" quotePrefix="1" applyFont="1" applyFill="1" applyBorder="1" applyAlignment="1">
      <alignment vertical="center" wrapText="1"/>
    </xf>
    <xf numFmtId="0" fontId="6" fillId="2" borderId="0" xfId="0" applyFont="1" applyFill="1"/>
    <xf numFmtId="0" fontId="14" fillId="2" borderId="10" xfId="0" applyFont="1" applyFill="1" applyBorder="1" applyAlignment="1" applyProtection="1">
      <alignment vertical="center" wrapText="1"/>
    </xf>
    <xf numFmtId="0" fontId="15" fillId="2" borderId="1" xfId="0" quotePrefix="1" applyFont="1" applyFill="1" applyBorder="1" applyAlignment="1">
      <alignment vertical="center" wrapText="1"/>
    </xf>
    <xf numFmtId="49" fontId="14" fillId="2" borderId="1" xfId="4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6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horizontal="center"/>
    </xf>
    <xf numFmtId="4" fontId="6" fillId="2" borderId="8" xfId="0" applyNumberFormat="1" applyFont="1" applyFill="1" applyBorder="1"/>
    <xf numFmtId="4" fontId="6" fillId="2" borderId="0" xfId="0" applyNumberFormat="1" applyFont="1" applyFill="1" applyAlignment="1">
      <alignment wrapText="1"/>
    </xf>
    <xf numFmtId="165" fontId="6" fillId="2" borderId="0" xfId="0" applyNumberFormat="1" applyFont="1" applyFill="1"/>
    <xf numFmtId="0" fontId="6" fillId="2" borderId="0" xfId="0" applyFont="1" applyFill="1" applyAlignment="1">
      <alignment wrapText="1"/>
    </xf>
    <xf numFmtId="4" fontId="6" fillId="2" borderId="0" xfId="0" applyNumberFormat="1" applyFont="1" applyFill="1"/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abSelected="1" view="pageBreakPreview" topLeftCell="A64" zoomScale="75" zoomScaleNormal="75" zoomScaleSheetLayoutView="75" workbookViewId="0">
      <selection activeCell="E66" sqref="E66"/>
    </sheetView>
  </sheetViews>
  <sheetFormatPr defaultRowHeight="25.5" customHeight="1" x14ac:dyDescent="0.25"/>
  <cols>
    <col min="1" max="1" width="11.5703125" style="21" customWidth="1"/>
    <col min="2" max="2" width="22.28515625" style="21" customWidth="1"/>
    <col min="3" max="3" width="11.42578125" style="6" customWidth="1"/>
    <col min="4" max="4" width="15.7109375" style="27" customWidth="1"/>
    <col min="5" max="5" width="58.7109375" style="26" customWidth="1"/>
    <col min="6" max="6" width="16.7109375" style="25" customWidth="1"/>
    <col min="7" max="7" width="15.5703125" style="6" customWidth="1"/>
    <col min="8" max="8" width="11.5703125" style="6" customWidth="1"/>
    <col min="9" max="9" width="62.140625" style="26" customWidth="1"/>
    <col min="10" max="10" width="14.5703125" style="25" customWidth="1"/>
    <col min="11" max="11" width="17.7109375" style="6" customWidth="1"/>
    <col min="12" max="16384" width="9.140625" style="6"/>
  </cols>
  <sheetData>
    <row r="1" spans="1:20" ht="25.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1"/>
      <c r="M1" s="11"/>
      <c r="N1" s="11"/>
      <c r="O1" s="11"/>
      <c r="P1" s="11"/>
      <c r="Q1" s="11"/>
      <c r="R1" s="11"/>
      <c r="S1" s="11"/>
      <c r="T1" s="11"/>
    </row>
    <row r="2" spans="1:20" ht="25.5" customHeight="1" x14ac:dyDescent="0.3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1"/>
      <c r="M2" s="11"/>
      <c r="N2" s="11"/>
      <c r="O2" s="11"/>
      <c r="P2" s="11"/>
      <c r="Q2" s="11"/>
      <c r="R2" s="11"/>
      <c r="S2" s="11"/>
      <c r="T2" s="11"/>
    </row>
    <row r="3" spans="1:20" ht="36" customHeight="1" x14ac:dyDescent="0.25">
      <c r="A3" s="35" t="s">
        <v>1</v>
      </c>
      <c r="B3" s="31" t="s">
        <v>2</v>
      </c>
      <c r="C3" s="37" t="s">
        <v>3</v>
      </c>
      <c r="D3" s="38"/>
      <c r="E3" s="39"/>
      <c r="F3" s="40" t="s">
        <v>6</v>
      </c>
      <c r="G3" s="37" t="s">
        <v>7</v>
      </c>
      <c r="H3" s="38"/>
      <c r="I3" s="38"/>
      <c r="J3" s="39"/>
      <c r="K3" s="31" t="s">
        <v>11</v>
      </c>
    </row>
    <row r="4" spans="1:20" ht="95.25" customHeight="1" x14ac:dyDescent="0.25">
      <c r="A4" s="36"/>
      <c r="B4" s="32"/>
      <c r="C4" s="12" t="s">
        <v>4</v>
      </c>
      <c r="D4" s="13" t="s">
        <v>14</v>
      </c>
      <c r="E4" s="12" t="s">
        <v>5</v>
      </c>
      <c r="F4" s="41"/>
      <c r="G4" s="12" t="s">
        <v>15</v>
      </c>
      <c r="H4" s="12" t="s">
        <v>8</v>
      </c>
      <c r="I4" s="12" t="s">
        <v>9</v>
      </c>
      <c r="J4" s="14" t="s">
        <v>10</v>
      </c>
      <c r="K4" s="32"/>
    </row>
    <row r="5" spans="1:20" ht="56.25" customHeight="1" x14ac:dyDescent="0.25">
      <c r="A5" s="1" t="s">
        <v>25</v>
      </c>
      <c r="B5" s="15" t="s">
        <v>12</v>
      </c>
      <c r="C5" s="1" t="s">
        <v>13</v>
      </c>
      <c r="D5" s="2">
        <f>(560)/1000</f>
        <v>0.56000000000000005</v>
      </c>
      <c r="E5" s="3" t="s">
        <v>28</v>
      </c>
      <c r="F5" s="4">
        <f t="shared" ref="F5:F7" si="0">SUM(D5)</f>
        <v>0.56000000000000005</v>
      </c>
      <c r="G5" s="1" t="s">
        <v>13</v>
      </c>
      <c r="H5" s="1" t="s">
        <v>13</v>
      </c>
      <c r="I5" s="5" t="str">
        <f t="shared" ref="I5" si="1">E5</f>
        <v>Послуги централізованого спостереження за станом тривожної сигналізації та реагування ГШР ПЦО на відповідні сигнали на об'єкті</v>
      </c>
      <c r="J5" s="4">
        <f t="shared" ref="J5" si="2">F5</f>
        <v>0.56000000000000005</v>
      </c>
      <c r="K5" s="1" t="s">
        <v>13</v>
      </c>
    </row>
    <row r="6" spans="1:20" ht="34.5" customHeight="1" x14ac:dyDescent="0.25">
      <c r="A6" s="1" t="s">
        <v>25</v>
      </c>
      <c r="B6" s="15" t="s">
        <v>12</v>
      </c>
      <c r="C6" s="1" t="s">
        <v>13</v>
      </c>
      <c r="D6" s="2">
        <f>(12225.3)/1000</f>
        <v>12.225299999999999</v>
      </c>
      <c r="E6" s="3" t="s">
        <v>29</v>
      </c>
      <c r="F6" s="4">
        <f t="shared" si="0"/>
        <v>12.225299999999999</v>
      </c>
      <c r="G6" s="1" t="s">
        <v>13</v>
      </c>
      <c r="H6" s="1" t="s">
        <v>13</v>
      </c>
      <c r="I6" s="5" t="str">
        <f t="shared" ref="I6:I7" si="3">E6</f>
        <v>Послуги з озеленення території та утримання зелених насаджень</v>
      </c>
      <c r="J6" s="4">
        <f t="shared" ref="J6:J7" si="4">F6</f>
        <v>12.225299999999999</v>
      </c>
      <c r="K6" s="1" t="s">
        <v>13</v>
      </c>
    </row>
    <row r="7" spans="1:20" ht="63" x14ac:dyDescent="0.25">
      <c r="A7" s="1" t="s">
        <v>25</v>
      </c>
      <c r="B7" s="15" t="s">
        <v>71</v>
      </c>
      <c r="C7" s="1" t="s">
        <v>13</v>
      </c>
      <c r="D7" s="2">
        <f>(70491.15)/1000</f>
        <v>70.49114999999999</v>
      </c>
      <c r="E7" s="9" t="s">
        <v>70</v>
      </c>
      <c r="F7" s="4">
        <f t="shared" si="0"/>
        <v>70.49114999999999</v>
      </c>
      <c r="G7" s="1" t="s">
        <v>13</v>
      </c>
      <c r="H7" s="1" t="s">
        <v>13</v>
      </c>
      <c r="I7" s="5" t="str">
        <f t="shared" si="3"/>
        <v>Анестезіологічний візок, з портиком</v>
      </c>
      <c r="J7" s="4">
        <f t="shared" si="4"/>
        <v>70.49114999999999</v>
      </c>
      <c r="K7" s="1" t="s">
        <v>13</v>
      </c>
    </row>
    <row r="8" spans="1:20" ht="63" x14ac:dyDescent="0.25">
      <c r="A8" s="1" t="s">
        <v>25</v>
      </c>
      <c r="B8" s="15" t="s">
        <v>47</v>
      </c>
      <c r="C8" s="1" t="s">
        <v>13</v>
      </c>
      <c r="D8" s="2">
        <f>(37818.62)/1000</f>
        <v>37.818620000000003</v>
      </c>
      <c r="E8" s="9" t="s">
        <v>46</v>
      </c>
      <c r="F8" s="4">
        <f t="shared" ref="F8" si="5">SUM(D8)</f>
        <v>37.818620000000003</v>
      </c>
      <c r="G8" s="1" t="s">
        <v>13</v>
      </c>
      <c r="H8" s="1" t="s">
        <v>13</v>
      </c>
      <c r="I8" s="5" t="str">
        <f t="shared" ref="I8" si="6">E8</f>
        <v>Брилінта по 90мг.14 табл.у блістері</v>
      </c>
      <c r="J8" s="4">
        <f t="shared" ref="J8" si="7">F8</f>
        <v>37.818620000000003</v>
      </c>
      <c r="K8" s="1" t="s">
        <v>13</v>
      </c>
    </row>
    <row r="9" spans="1:20" ht="56.25" x14ac:dyDescent="0.25">
      <c r="A9" s="1" t="s">
        <v>25</v>
      </c>
      <c r="B9" s="15" t="s">
        <v>23</v>
      </c>
      <c r="C9" s="1" t="s">
        <v>13</v>
      </c>
      <c r="D9" s="2">
        <f>(15300)/1000</f>
        <v>15.3</v>
      </c>
      <c r="E9" s="9" t="s">
        <v>48</v>
      </c>
      <c r="F9" s="4">
        <f t="shared" ref="F9:F20" si="8">SUM(D9)</f>
        <v>15.3</v>
      </c>
      <c r="G9" s="1" t="s">
        <v>13</v>
      </c>
      <c r="H9" s="1" t="s">
        <v>13</v>
      </c>
      <c r="I9" s="5" t="str">
        <f t="shared" ref="I9:I20" si="9">E9</f>
        <v>Набір імплантів для остеосинтезу перелому ключиці: пластина, титан; блокуючий гвинт, шестигранник, титан; кортикальний гвинт, титан</v>
      </c>
      <c r="J9" s="4">
        <f t="shared" ref="J9:J20" si="10">F9</f>
        <v>15.3</v>
      </c>
      <c r="K9" s="1" t="s">
        <v>13</v>
      </c>
    </row>
    <row r="10" spans="1:20" ht="37.5" x14ac:dyDescent="0.25">
      <c r="A10" s="1" t="s">
        <v>25</v>
      </c>
      <c r="B10" s="15" t="s">
        <v>23</v>
      </c>
      <c r="C10" s="1" t="s">
        <v>13</v>
      </c>
      <c r="D10" s="2">
        <f>(25000)/1000</f>
        <v>25</v>
      </c>
      <c r="E10" s="9" t="s">
        <v>49</v>
      </c>
      <c r="F10" s="4">
        <f t="shared" si="8"/>
        <v>25</v>
      </c>
      <c r="G10" s="1" t="s">
        <v>13</v>
      </c>
      <c r="H10" s="1" t="s">
        <v>13</v>
      </c>
      <c r="I10" s="5" t="str">
        <f t="shared" si="9"/>
        <v>Резолют Інтегріті коронарна стент-система з покриттям зотаролімус</v>
      </c>
      <c r="J10" s="4">
        <f t="shared" si="10"/>
        <v>25</v>
      </c>
      <c r="K10" s="1" t="s">
        <v>13</v>
      </c>
    </row>
    <row r="11" spans="1:20" ht="37.5" x14ac:dyDescent="0.25">
      <c r="A11" s="1" t="s">
        <v>25</v>
      </c>
      <c r="B11" s="15" t="s">
        <v>23</v>
      </c>
      <c r="C11" s="1" t="s">
        <v>13</v>
      </c>
      <c r="D11" s="2">
        <v>11.4</v>
      </c>
      <c r="E11" s="9" t="s">
        <v>50</v>
      </c>
      <c r="F11" s="4">
        <f t="shared" si="8"/>
        <v>11.4</v>
      </c>
      <c r="G11" s="1" t="s">
        <v>13</v>
      </c>
      <c r="H11" s="1" t="s">
        <v>13</v>
      </c>
      <c r="I11" s="5" t="str">
        <f t="shared" si="9"/>
        <v>Соляріс балонний дилятаційний катетер швидкої заміни</v>
      </c>
      <c r="J11" s="4">
        <f t="shared" si="10"/>
        <v>11.4</v>
      </c>
      <c r="K11" s="1" t="s">
        <v>13</v>
      </c>
    </row>
    <row r="12" spans="1:20" ht="51" customHeight="1" x14ac:dyDescent="0.25">
      <c r="A12" s="1" t="s">
        <v>25</v>
      </c>
      <c r="B12" s="15" t="s">
        <v>23</v>
      </c>
      <c r="C12" s="1" t="s">
        <v>13</v>
      </c>
      <c r="D12" s="2">
        <f>(18900)/1000</f>
        <v>18.899999999999999</v>
      </c>
      <c r="E12" s="9" t="s">
        <v>51</v>
      </c>
      <c r="F12" s="4">
        <f t="shared" si="8"/>
        <v>18.899999999999999</v>
      </c>
      <c r="G12" s="1" t="s">
        <v>13</v>
      </c>
      <c r="H12" s="1" t="s">
        <v>13</v>
      </c>
      <c r="I12" s="5" t="str">
        <f t="shared" si="9"/>
        <v>Набір імплантів для остеосинтезу перелому ключиці: ключна пластина, права, титан; блокуючий гвинт, шестигранник, титан; кортикальний гвинт</v>
      </c>
      <c r="J12" s="4">
        <f t="shared" si="10"/>
        <v>18.899999999999999</v>
      </c>
      <c r="K12" s="1" t="s">
        <v>13</v>
      </c>
    </row>
    <row r="13" spans="1:20" ht="54" customHeight="1" x14ac:dyDescent="0.25">
      <c r="A13" s="1" t="s">
        <v>25</v>
      </c>
      <c r="B13" s="15" t="s">
        <v>23</v>
      </c>
      <c r="C13" s="1" t="s">
        <v>13</v>
      </c>
      <c r="D13" s="2">
        <f>(44400)/1000</f>
        <v>44.4</v>
      </c>
      <c r="E13" s="9" t="s">
        <v>52</v>
      </c>
      <c r="F13" s="4">
        <f t="shared" si="8"/>
        <v>44.4</v>
      </c>
      <c r="G13" s="1" t="s">
        <v>13</v>
      </c>
      <c r="H13" s="1" t="s">
        <v>13</v>
      </c>
      <c r="I13" s="5" t="str">
        <f t="shared" si="9"/>
        <v>ELUTAX "3" - RX-C балонний катетер для дилатації коронарних судин з лікарським покриттям</v>
      </c>
      <c r="J13" s="4">
        <f t="shared" si="10"/>
        <v>44.4</v>
      </c>
      <c r="K13" s="1" t="s">
        <v>13</v>
      </c>
    </row>
    <row r="14" spans="1:20" ht="52.5" customHeight="1" x14ac:dyDescent="0.25">
      <c r="A14" s="1" t="s">
        <v>25</v>
      </c>
      <c r="B14" s="15" t="s">
        <v>23</v>
      </c>
      <c r="C14" s="1" t="s">
        <v>13</v>
      </c>
      <c r="D14" s="2">
        <f>(18500)/1000</f>
        <v>18.5</v>
      </c>
      <c r="E14" s="9" t="s">
        <v>53</v>
      </c>
      <c r="F14" s="4">
        <f t="shared" si="8"/>
        <v>18.5</v>
      </c>
      <c r="G14" s="1" t="s">
        <v>13</v>
      </c>
      <c r="H14" s="1" t="s">
        <v>13</v>
      </c>
      <c r="I14" s="5" t="str">
        <f t="shared" si="9"/>
        <v>Набір імплантів для остеосинтезу пошкодження променевої кістки: пластина, титан; блокуючий гвинт, шестигранник, титан; кортикальний гвинт</v>
      </c>
      <c r="J14" s="4">
        <f t="shared" si="10"/>
        <v>18.5</v>
      </c>
      <c r="K14" s="1" t="s">
        <v>13</v>
      </c>
    </row>
    <row r="15" spans="1:20" ht="67.5" customHeight="1" x14ac:dyDescent="0.25">
      <c r="A15" s="1" t="s">
        <v>25</v>
      </c>
      <c r="B15" s="15" t="s">
        <v>23</v>
      </c>
      <c r="C15" s="1" t="s">
        <v>13</v>
      </c>
      <c r="D15" s="2">
        <f>(18300)/1000</f>
        <v>18.3</v>
      </c>
      <c r="E15" s="9" t="s">
        <v>53</v>
      </c>
      <c r="F15" s="4">
        <f t="shared" ref="F15:F16" si="11">SUM(D15)</f>
        <v>18.3</v>
      </c>
      <c r="G15" s="1" t="s">
        <v>13</v>
      </c>
      <c r="H15" s="1" t="s">
        <v>13</v>
      </c>
      <c r="I15" s="5" t="str">
        <f t="shared" ref="I15:I16" si="12">E15</f>
        <v>Набір імплантів для остеосинтезу пошкодження променевої кістки: пластина, титан; блокуючий гвинт, шестигранник, титан; кортикальний гвинт</v>
      </c>
      <c r="J15" s="4">
        <f t="shared" ref="J15:J16" si="13">F15</f>
        <v>18.3</v>
      </c>
      <c r="K15" s="1" t="s">
        <v>13</v>
      </c>
    </row>
    <row r="16" spans="1:20" ht="66" customHeight="1" x14ac:dyDescent="0.25">
      <c r="A16" s="1" t="s">
        <v>25</v>
      </c>
      <c r="B16" s="15" t="s">
        <v>23</v>
      </c>
      <c r="C16" s="1" t="s">
        <v>13</v>
      </c>
      <c r="D16" s="2">
        <f>(18700)/1000</f>
        <v>18.7</v>
      </c>
      <c r="E16" s="9" t="s">
        <v>54</v>
      </c>
      <c r="F16" s="4">
        <f t="shared" si="11"/>
        <v>18.7</v>
      </c>
      <c r="G16" s="1" t="s">
        <v>13</v>
      </c>
      <c r="H16" s="1" t="s">
        <v>13</v>
      </c>
      <c r="I16" s="5" t="str">
        <f t="shared" si="12"/>
        <v>Набір імплантів для остеосинтезу пошкодження лівої ключиці: ключна пластина, ліва, титан; блокуючий гвинт, шестигранник, титан; кортикальний гвинт</v>
      </c>
      <c r="J16" s="4">
        <f t="shared" si="13"/>
        <v>18.7</v>
      </c>
      <c r="K16" s="1" t="s">
        <v>13</v>
      </c>
    </row>
    <row r="17" spans="1:11" ht="69" customHeight="1" x14ac:dyDescent="0.25">
      <c r="A17" s="1" t="s">
        <v>25</v>
      </c>
      <c r="B17" s="15" t="s">
        <v>23</v>
      </c>
      <c r="C17" s="1" t="s">
        <v>13</v>
      </c>
      <c r="D17" s="2">
        <f>(2000)/1000</f>
        <v>2</v>
      </c>
      <c r="E17" s="9" t="s">
        <v>55</v>
      </c>
      <c r="F17" s="4">
        <f t="shared" si="8"/>
        <v>2</v>
      </c>
      <c r="G17" s="1" t="s">
        <v>13</v>
      </c>
      <c r="H17" s="1" t="s">
        <v>13</v>
      </c>
      <c r="I17" s="5" t="str">
        <f t="shared" si="9"/>
        <v>Інфляційний пристрій BID5 (20мл.30 атм.)</v>
      </c>
      <c r="J17" s="4">
        <f t="shared" si="10"/>
        <v>2</v>
      </c>
      <c r="K17" s="1" t="s">
        <v>13</v>
      </c>
    </row>
    <row r="18" spans="1:11" ht="70.5" customHeight="1" x14ac:dyDescent="0.25">
      <c r="A18" s="1" t="s">
        <v>25</v>
      </c>
      <c r="B18" s="15" t="s">
        <v>23</v>
      </c>
      <c r="C18" s="1" t="s">
        <v>13</v>
      </c>
      <c r="D18" s="2">
        <f>(25000)/1000</f>
        <v>25</v>
      </c>
      <c r="E18" s="9" t="s">
        <v>49</v>
      </c>
      <c r="F18" s="4">
        <f t="shared" si="8"/>
        <v>25</v>
      </c>
      <c r="G18" s="1" t="s">
        <v>13</v>
      </c>
      <c r="H18" s="1" t="s">
        <v>13</v>
      </c>
      <c r="I18" s="5" t="str">
        <f t="shared" si="9"/>
        <v>Резолют Інтегріті коронарна стент-система з покриттям зотаролімус</v>
      </c>
      <c r="J18" s="4">
        <f t="shared" si="10"/>
        <v>25</v>
      </c>
      <c r="K18" s="1" t="s">
        <v>13</v>
      </c>
    </row>
    <row r="19" spans="1:11" ht="70.5" customHeight="1" x14ac:dyDescent="0.25">
      <c r="A19" s="1" t="s">
        <v>25</v>
      </c>
      <c r="B19" s="15" t="s">
        <v>23</v>
      </c>
      <c r="C19" s="1" t="s">
        <v>13</v>
      </c>
      <c r="D19" s="2">
        <f>(4300)/1000</f>
        <v>4.3</v>
      </c>
      <c r="E19" s="9" t="s">
        <v>50</v>
      </c>
      <c r="F19" s="4">
        <f t="shared" si="8"/>
        <v>4.3</v>
      </c>
      <c r="G19" s="1" t="s">
        <v>13</v>
      </c>
      <c r="H19" s="1" t="s">
        <v>13</v>
      </c>
      <c r="I19" s="5" t="str">
        <f t="shared" si="9"/>
        <v>Соляріс балонний дилятаційний катетер швидкої заміни</v>
      </c>
      <c r="J19" s="4">
        <f t="shared" si="10"/>
        <v>4.3</v>
      </c>
      <c r="K19" s="1" t="s">
        <v>13</v>
      </c>
    </row>
    <row r="20" spans="1:11" ht="69.75" customHeight="1" x14ac:dyDescent="0.25">
      <c r="A20" s="1" t="s">
        <v>25</v>
      </c>
      <c r="B20" s="15" t="s">
        <v>23</v>
      </c>
      <c r="C20" s="1" t="s">
        <v>13</v>
      </c>
      <c r="D20" s="2">
        <f>(3800)/1000</f>
        <v>3.8</v>
      </c>
      <c r="E20" s="9" t="s">
        <v>56</v>
      </c>
      <c r="F20" s="4">
        <f t="shared" si="8"/>
        <v>3.8</v>
      </c>
      <c r="G20" s="1" t="s">
        <v>13</v>
      </c>
      <c r="H20" s="1" t="s">
        <v>13</v>
      </c>
      <c r="I20" s="5" t="str">
        <f t="shared" si="9"/>
        <v>Провідник коронарний Boston Scientific PT2 light support</v>
      </c>
      <c r="J20" s="4">
        <f t="shared" si="10"/>
        <v>3.8</v>
      </c>
      <c r="K20" s="1" t="s">
        <v>13</v>
      </c>
    </row>
    <row r="21" spans="1:11" ht="75.75" customHeight="1" x14ac:dyDescent="0.25">
      <c r="A21" s="1" t="s">
        <v>25</v>
      </c>
      <c r="B21" s="15" t="s">
        <v>23</v>
      </c>
      <c r="C21" s="1" t="s">
        <v>13</v>
      </c>
      <c r="D21" s="2">
        <f>(8500)/1000</f>
        <v>8.5</v>
      </c>
      <c r="E21" s="9" t="s">
        <v>57</v>
      </c>
      <c r="F21" s="4">
        <f t="shared" ref="F21:F31" si="14">SUM(D21)</f>
        <v>8.5</v>
      </c>
      <c r="G21" s="1" t="s">
        <v>13</v>
      </c>
      <c r="H21" s="1" t="s">
        <v>13</v>
      </c>
      <c r="I21" s="5" t="str">
        <f t="shared" ref="I21:I31" si="15">E21</f>
        <v>Набір імплантів для остеосинтезу перелому п'ясткової кістки: пластина, титан; блокуючий гвинт, шнстигранник, титан; кортикальний гвинт</v>
      </c>
      <c r="J21" s="4">
        <f t="shared" ref="J21:J31" si="16">F21</f>
        <v>8.5</v>
      </c>
      <c r="K21" s="1" t="s">
        <v>13</v>
      </c>
    </row>
    <row r="22" spans="1:11" ht="75.75" customHeight="1" x14ac:dyDescent="0.25">
      <c r="A22" s="1" t="s">
        <v>25</v>
      </c>
      <c r="B22" s="15" t="s">
        <v>23</v>
      </c>
      <c r="C22" s="1" t="s">
        <v>13</v>
      </c>
      <c r="D22" s="2">
        <f>(25000)/1000</f>
        <v>25</v>
      </c>
      <c r="E22" s="9" t="s">
        <v>49</v>
      </c>
      <c r="F22" s="4">
        <f t="shared" si="14"/>
        <v>25</v>
      </c>
      <c r="G22" s="1" t="s">
        <v>13</v>
      </c>
      <c r="H22" s="1" t="s">
        <v>13</v>
      </c>
      <c r="I22" s="5" t="str">
        <f t="shared" si="15"/>
        <v>Резолют Інтегріті коронарна стент-система з покриттям зотаролімус</v>
      </c>
      <c r="J22" s="4">
        <f t="shared" si="16"/>
        <v>25</v>
      </c>
      <c r="K22" s="1" t="s">
        <v>13</v>
      </c>
    </row>
    <row r="23" spans="1:11" ht="75.75" customHeight="1" x14ac:dyDescent="0.25">
      <c r="A23" s="1" t="s">
        <v>25</v>
      </c>
      <c r="B23" s="15" t="s">
        <v>23</v>
      </c>
      <c r="C23" s="1" t="s">
        <v>13</v>
      </c>
      <c r="D23" s="2">
        <f>(11400)/1000</f>
        <v>11.4</v>
      </c>
      <c r="E23" s="9" t="s">
        <v>50</v>
      </c>
      <c r="F23" s="4">
        <f t="shared" si="14"/>
        <v>11.4</v>
      </c>
      <c r="G23" s="1" t="s">
        <v>13</v>
      </c>
      <c r="H23" s="1" t="s">
        <v>13</v>
      </c>
      <c r="I23" s="5" t="str">
        <f t="shared" si="15"/>
        <v>Соляріс балонний дилятаційний катетер швидкої заміни</v>
      </c>
      <c r="J23" s="4">
        <f t="shared" si="16"/>
        <v>11.4</v>
      </c>
      <c r="K23" s="1" t="s">
        <v>13</v>
      </c>
    </row>
    <row r="24" spans="1:11" ht="75.75" customHeight="1" x14ac:dyDescent="0.25">
      <c r="A24" s="1" t="s">
        <v>25</v>
      </c>
      <c r="B24" s="15" t="s">
        <v>20</v>
      </c>
      <c r="C24" s="1" t="s">
        <v>13</v>
      </c>
      <c r="D24" s="2">
        <f>(1946.86)/1000</f>
        <v>1.9468599999999998</v>
      </c>
      <c r="E24" s="9" t="s">
        <v>58</v>
      </c>
      <c r="F24" s="4">
        <f t="shared" ref="F24:F27" si="17">SUM(D24)</f>
        <v>1.9468599999999998</v>
      </c>
      <c r="G24" s="1" t="s">
        <v>13</v>
      </c>
      <c r="H24" s="1" t="s">
        <v>13</v>
      </c>
      <c r="I24" s="5" t="str">
        <f t="shared" ref="I24:I27" si="18">E24</f>
        <v>EMEQCCOLPAL/Комір шийний педіатр. регульований шт.</v>
      </c>
      <c r="J24" s="4">
        <f t="shared" ref="J24:J27" si="19">F24</f>
        <v>1.9468599999999998</v>
      </c>
      <c r="K24" s="1" t="s">
        <v>13</v>
      </c>
    </row>
    <row r="25" spans="1:11" ht="75.75" customHeight="1" x14ac:dyDescent="0.25">
      <c r="A25" s="1" t="s">
        <v>25</v>
      </c>
      <c r="B25" s="15" t="s">
        <v>20</v>
      </c>
      <c r="C25" s="1" t="s">
        <v>13</v>
      </c>
      <c r="D25" s="2">
        <f>(5396.28)/1000</f>
        <v>5.39628</v>
      </c>
      <c r="E25" s="9" t="s">
        <v>59</v>
      </c>
      <c r="F25" s="4">
        <f t="shared" si="17"/>
        <v>5.39628</v>
      </c>
      <c r="G25" s="1" t="s">
        <v>13</v>
      </c>
      <c r="H25" s="1" t="s">
        <v>13</v>
      </c>
      <c r="I25" s="5" t="str">
        <f t="shared" si="18"/>
        <v>SINSCVCAT720/Набір центрального венозного катетера, 3 люмели, СН7-7,5х 15-20 см/60809</v>
      </c>
      <c r="J25" s="4">
        <f t="shared" si="19"/>
        <v>5.39628</v>
      </c>
      <c r="K25" s="1" t="s">
        <v>13</v>
      </c>
    </row>
    <row r="26" spans="1:11" ht="75.75" customHeight="1" x14ac:dyDescent="0.25">
      <c r="A26" s="1" t="s">
        <v>25</v>
      </c>
      <c r="B26" s="15" t="s">
        <v>20</v>
      </c>
      <c r="C26" s="1" t="s">
        <v>13</v>
      </c>
      <c r="D26" s="2">
        <f>(2751.58)/1000</f>
        <v>2.7515800000000001</v>
      </c>
      <c r="E26" s="9" t="s">
        <v>60</v>
      </c>
      <c r="F26" s="4">
        <f t="shared" si="17"/>
        <v>2.7515800000000001</v>
      </c>
      <c r="G26" s="1" t="s">
        <v>13</v>
      </c>
      <c r="H26" s="1" t="s">
        <v>13</v>
      </c>
      <c r="I26" s="5" t="str">
        <f t="shared" si="18"/>
        <v>SCTDCAUR06F Сечовий катетер, FOLEY 2 ходовий, балонний, стерильний, su, CH06 52953</v>
      </c>
      <c r="J26" s="4">
        <f t="shared" si="19"/>
        <v>2.7515800000000001</v>
      </c>
      <c r="K26" s="1" t="s">
        <v>13</v>
      </c>
    </row>
    <row r="27" spans="1:11" ht="75.75" customHeight="1" x14ac:dyDescent="0.25">
      <c r="A27" s="1" t="s">
        <v>25</v>
      </c>
      <c r="B27" s="15" t="s">
        <v>20</v>
      </c>
      <c r="C27" s="1" t="s">
        <v>13</v>
      </c>
      <c r="D27" s="2">
        <f>(475.76)/1000</f>
        <v>0.47576000000000002</v>
      </c>
      <c r="E27" s="9" t="s">
        <v>61</v>
      </c>
      <c r="F27" s="4">
        <f t="shared" si="17"/>
        <v>0.47576000000000002</v>
      </c>
      <c r="G27" s="1" t="s">
        <v>13</v>
      </c>
      <c r="H27" s="1" t="s">
        <v>13</v>
      </c>
      <c r="I27" s="5" t="str">
        <f t="shared" si="18"/>
        <v>SCTDCAUR08F Сечовий катетер, FOLEY 2 ходовий, балонний, стерильний, су, CH08 52953</v>
      </c>
      <c r="J27" s="4">
        <f t="shared" si="19"/>
        <v>0.47576000000000002</v>
      </c>
      <c r="K27" s="1" t="s">
        <v>13</v>
      </c>
    </row>
    <row r="28" spans="1:11" ht="75.75" customHeight="1" x14ac:dyDescent="0.25">
      <c r="A28" s="1" t="s">
        <v>25</v>
      </c>
      <c r="B28" s="15" t="s">
        <v>20</v>
      </c>
      <c r="C28" s="1" t="s">
        <v>13</v>
      </c>
      <c r="D28" s="2">
        <f>(475.76)/1000</f>
        <v>0.47576000000000002</v>
      </c>
      <c r="E28" s="9" t="s">
        <v>62</v>
      </c>
      <c r="F28" s="4">
        <f t="shared" si="14"/>
        <v>0.47576000000000002</v>
      </c>
      <c r="G28" s="1" t="s">
        <v>13</v>
      </c>
      <c r="H28" s="1" t="s">
        <v>13</v>
      </c>
      <c r="I28" s="5" t="str">
        <f t="shared" si="15"/>
        <v>SCTDCAUR10F Катетер-балон, Фолея 2 ходовий, уретральний, стерильний, одноразовий, CH10 52953</v>
      </c>
      <c r="J28" s="4">
        <f t="shared" si="16"/>
        <v>0.47576000000000002</v>
      </c>
      <c r="K28" s="1" t="s">
        <v>13</v>
      </c>
    </row>
    <row r="29" spans="1:11" ht="75.75" customHeight="1" x14ac:dyDescent="0.25">
      <c r="A29" s="1" t="s">
        <v>25</v>
      </c>
      <c r="B29" s="15" t="s">
        <v>23</v>
      </c>
      <c r="C29" s="1" t="s">
        <v>13</v>
      </c>
      <c r="D29" s="2">
        <f>(15300)/1000</f>
        <v>15.3</v>
      </c>
      <c r="E29" s="9" t="s">
        <v>48</v>
      </c>
      <c r="F29" s="4">
        <f t="shared" si="14"/>
        <v>15.3</v>
      </c>
      <c r="G29" s="1" t="s">
        <v>13</v>
      </c>
      <c r="H29" s="1" t="s">
        <v>13</v>
      </c>
      <c r="I29" s="5" t="str">
        <f t="shared" si="15"/>
        <v>Набір імплантів для остеосинтезу перелому ключиці: пластина, титан; блокуючий гвинт, шестигранник, титан; кортикальний гвинт, титан</v>
      </c>
      <c r="J29" s="4">
        <f t="shared" si="16"/>
        <v>15.3</v>
      </c>
      <c r="K29" s="1" t="s">
        <v>13</v>
      </c>
    </row>
    <row r="30" spans="1:11" ht="75.75" customHeight="1" x14ac:dyDescent="0.25">
      <c r="A30" s="1" t="s">
        <v>25</v>
      </c>
      <c r="B30" s="15" t="s">
        <v>23</v>
      </c>
      <c r="C30" s="1" t="s">
        <v>13</v>
      </c>
      <c r="D30" s="2">
        <f>(2000)/1000</f>
        <v>2</v>
      </c>
      <c r="E30" s="9" t="s">
        <v>55</v>
      </c>
      <c r="F30" s="4">
        <f t="shared" si="14"/>
        <v>2</v>
      </c>
      <c r="G30" s="1" t="s">
        <v>13</v>
      </c>
      <c r="H30" s="1" t="s">
        <v>13</v>
      </c>
      <c r="I30" s="5" t="str">
        <f t="shared" si="15"/>
        <v>Інфляційний пристрій BID5 (20мл.30 атм.)</v>
      </c>
      <c r="J30" s="4">
        <f t="shared" si="16"/>
        <v>2</v>
      </c>
      <c r="K30" s="1" t="s">
        <v>13</v>
      </c>
    </row>
    <row r="31" spans="1:11" ht="75.75" customHeight="1" x14ac:dyDescent="0.25">
      <c r="A31" s="1" t="s">
        <v>25</v>
      </c>
      <c r="B31" s="15" t="s">
        <v>23</v>
      </c>
      <c r="C31" s="1" t="s">
        <v>13</v>
      </c>
      <c r="D31" s="2">
        <f>(75000)/1000</f>
        <v>75</v>
      </c>
      <c r="E31" s="9" t="s">
        <v>49</v>
      </c>
      <c r="F31" s="4">
        <f t="shared" si="14"/>
        <v>75</v>
      </c>
      <c r="G31" s="1" t="s">
        <v>13</v>
      </c>
      <c r="H31" s="1" t="s">
        <v>13</v>
      </c>
      <c r="I31" s="5" t="str">
        <f t="shared" si="15"/>
        <v>Резолют Інтегріті коронарна стент-система з покриттям зотаролімус</v>
      </c>
      <c r="J31" s="4">
        <f t="shared" si="16"/>
        <v>75</v>
      </c>
      <c r="K31" s="1" t="s">
        <v>13</v>
      </c>
    </row>
    <row r="32" spans="1:11" ht="75.75" customHeight="1" x14ac:dyDescent="0.25">
      <c r="A32" s="1" t="s">
        <v>25</v>
      </c>
      <c r="B32" s="15" t="s">
        <v>23</v>
      </c>
      <c r="C32" s="1" t="s">
        <v>13</v>
      </c>
      <c r="D32" s="2">
        <f>(12900)/1000</f>
        <v>12.9</v>
      </c>
      <c r="E32" s="9" t="s">
        <v>50</v>
      </c>
      <c r="F32" s="4">
        <f t="shared" ref="F32:F33" si="20">SUM(D32)</f>
        <v>12.9</v>
      </c>
      <c r="G32" s="1" t="s">
        <v>13</v>
      </c>
      <c r="H32" s="1" t="s">
        <v>13</v>
      </c>
      <c r="I32" s="5" t="str">
        <f t="shared" ref="I32:I33" si="21">E32</f>
        <v>Соляріс балонний дилятаційний катетер швидкої заміни</v>
      </c>
      <c r="J32" s="4">
        <f t="shared" ref="J32:J33" si="22">F32</f>
        <v>12.9</v>
      </c>
      <c r="K32" s="1" t="s">
        <v>13</v>
      </c>
    </row>
    <row r="33" spans="1:11" ht="75.75" customHeight="1" x14ac:dyDescent="0.25">
      <c r="A33" s="1" t="s">
        <v>25</v>
      </c>
      <c r="B33" s="15" t="s">
        <v>23</v>
      </c>
      <c r="C33" s="1" t="s">
        <v>13</v>
      </c>
      <c r="D33" s="2">
        <f>(7600)/1000</f>
        <v>7.6</v>
      </c>
      <c r="E33" s="9" t="s">
        <v>56</v>
      </c>
      <c r="F33" s="4">
        <f t="shared" si="20"/>
        <v>7.6</v>
      </c>
      <c r="G33" s="1" t="s">
        <v>13</v>
      </c>
      <c r="H33" s="1" t="s">
        <v>13</v>
      </c>
      <c r="I33" s="5" t="str">
        <f t="shared" si="21"/>
        <v>Провідник коронарний Boston Scientific PT2 light support</v>
      </c>
      <c r="J33" s="4">
        <f t="shared" si="22"/>
        <v>7.6</v>
      </c>
      <c r="K33" s="1" t="s">
        <v>13</v>
      </c>
    </row>
    <row r="34" spans="1:11" ht="75.75" customHeight="1" x14ac:dyDescent="0.25">
      <c r="A34" s="1" t="s">
        <v>25</v>
      </c>
      <c r="B34" s="15" t="s">
        <v>23</v>
      </c>
      <c r="C34" s="1" t="s">
        <v>13</v>
      </c>
      <c r="D34" s="2">
        <f>(18000)/1000</f>
        <v>18</v>
      </c>
      <c r="E34" s="9" t="s">
        <v>48</v>
      </c>
      <c r="F34" s="4">
        <f t="shared" ref="F34:F35" si="23">SUM(D34)</f>
        <v>18</v>
      </c>
      <c r="G34" s="1" t="s">
        <v>13</v>
      </c>
      <c r="H34" s="1" t="s">
        <v>13</v>
      </c>
      <c r="I34" s="5" t="str">
        <f t="shared" ref="I34:I35" si="24">E34</f>
        <v>Набір імплантів для остеосинтезу перелому ключиці: пластина, титан; блокуючий гвинт, шестигранник, титан; кортикальний гвинт, титан</v>
      </c>
      <c r="J34" s="4">
        <f t="shared" ref="J34:J35" si="25">F34</f>
        <v>18</v>
      </c>
      <c r="K34" s="1" t="s">
        <v>13</v>
      </c>
    </row>
    <row r="35" spans="1:11" ht="75.75" customHeight="1" x14ac:dyDescent="0.25">
      <c r="A35" s="1" t="s">
        <v>25</v>
      </c>
      <c r="B35" s="15" t="s">
        <v>23</v>
      </c>
      <c r="C35" s="1" t="s">
        <v>13</v>
      </c>
      <c r="D35" s="2">
        <f>(18500)/1000</f>
        <v>18.5</v>
      </c>
      <c r="E35" s="9" t="s">
        <v>48</v>
      </c>
      <c r="F35" s="4">
        <f t="shared" si="23"/>
        <v>18.5</v>
      </c>
      <c r="G35" s="1" t="s">
        <v>13</v>
      </c>
      <c r="H35" s="1" t="s">
        <v>13</v>
      </c>
      <c r="I35" s="5" t="str">
        <f t="shared" si="24"/>
        <v>Набір імплантів для остеосинтезу перелому ключиці: пластина, титан; блокуючий гвинт, шестигранник, титан; кортикальний гвинт, титан</v>
      </c>
      <c r="J35" s="4">
        <f t="shared" si="25"/>
        <v>18.5</v>
      </c>
      <c r="K35" s="1" t="s">
        <v>13</v>
      </c>
    </row>
    <row r="36" spans="1:11" ht="54.75" customHeight="1" x14ac:dyDescent="0.25">
      <c r="A36" s="1" t="s">
        <v>26</v>
      </c>
      <c r="B36" s="15" t="s">
        <v>12</v>
      </c>
      <c r="C36" s="1" t="s">
        <v>13</v>
      </c>
      <c r="D36" s="2">
        <f>(560)/1000</f>
        <v>0.56000000000000005</v>
      </c>
      <c r="E36" s="3" t="s">
        <v>28</v>
      </c>
      <c r="F36" s="4">
        <f>SUM(D36)</f>
        <v>0.56000000000000005</v>
      </c>
      <c r="G36" s="1" t="s">
        <v>13</v>
      </c>
      <c r="H36" s="1" t="s">
        <v>13</v>
      </c>
      <c r="I36" s="5" t="str">
        <f t="shared" ref="I36" si="26">E36</f>
        <v>Послуги централізованого спостереження за станом тривожної сигналізації та реагування ГШР ПЦО на відповідні сигнали на об'єкті</v>
      </c>
      <c r="J36" s="4">
        <f t="shared" ref="J36" si="27">F36</f>
        <v>0.56000000000000005</v>
      </c>
      <c r="K36" s="1" t="s">
        <v>13</v>
      </c>
    </row>
    <row r="37" spans="1:11" ht="54.75" customHeight="1" x14ac:dyDescent="0.25">
      <c r="A37" s="1" t="s">
        <v>26</v>
      </c>
      <c r="B37" s="15" t="s">
        <v>12</v>
      </c>
      <c r="C37" s="1" t="s">
        <v>13</v>
      </c>
      <c r="D37" s="2">
        <f>(6000)/1000</f>
        <v>6</v>
      </c>
      <c r="E37" s="9" t="s">
        <v>30</v>
      </c>
      <c r="F37" s="4">
        <f>SUM(D37)</f>
        <v>6</v>
      </c>
      <c r="G37" s="1" t="s">
        <v>13</v>
      </c>
      <c r="H37" s="1" t="s">
        <v>13</v>
      </c>
      <c r="I37" s="5" t="str">
        <f t="shared" ref="I37" si="28">E37</f>
        <v>Опосвідчення кисневого балона (40л без заміни вентиля)</v>
      </c>
      <c r="J37" s="4">
        <f t="shared" ref="J37" si="29">F37</f>
        <v>6</v>
      </c>
      <c r="K37" s="1" t="s">
        <v>13</v>
      </c>
    </row>
    <row r="38" spans="1:11" ht="51" customHeight="1" x14ac:dyDescent="0.25">
      <c r="A38" s="1" t="s">
        <v>26</v>
      </c>
      <c r="B38" s="15" t="s">
        <v>12</v>
      </c>
      <c r="C38" s="1" t="s">
        <v>13</v>
      </c>
      <c r="D38" s="2">
        <f>(5800)/1000</f>
        <v>5.8</v>
      </c>
      <c r="E38" s="9" t="s">
        <v>32</v>
      </c>
      <c r="F38" s="4">
        <f>SUM(D38)</f>
        <v>5.8</v>
      </c>
      <c r="G38" s="1" t="s">
        <v>13</v>
      </c>
      <c r="H38" s="1" t="s">
        <v>13</v>
      </c>
      <c r="I38" s="5" t="str">
        <f>E38</f>
        <v>Дренаж типу `Редон`Fr18</v>
      </c>
      <c r="J38" s="4">
        <f>F38</f>
        <v>5.8</v>
      </c>
      <c r="K38" s="1" t="s">
        <v>13</v>
      </c>
    </row>
    <row r="39" spans="1:11" ht="37.5" x14ac:dyDescent="0.25">
      <c r="A39" s="1" t="s">
        <v>26</v>
      </c>
      <c r="B39" s="15" t="s">
        <v>12</v>
      </c>
      <c r="C39" s="1" t="s">
        <v>13</v>
      </c>
      <c r="D39" s="2">
        <f>(2954.45)/1000</f>
        <v>2.95445</v>
      </c>
      <c r="E39" s="9" t="s">
        <v>22</v>
      </c>
      <c r="F39" s="4">
        <f t="shared" ref="F39:F47" si="30">SUM(D39)</f>
        <v>2.95445</v>
      </c>
      <c r="G39" s="1" t="s">
        <v>13</v>
      </c>
      <c r="H39" s="1" t="s">
        <v>13</v>
      </c>
      <c r="I39" s="5" t="str">
        <f t="shared" ref="I39:I47" si="31">E39</f>
        <v>Ебрантил р-н д/ін. 5мг/мл по 10мг (50мг) в амп. №5</v>
      </c>
      <c r="J39" s="4">
        <f t="shared" ref="J39:J47" si="32">F39</f>
        <v>2.95445</v>
      </c>
      <c r="K39" s="1" t="s">
        <v>13</v>
      </c>
    </row>
    <row r="40" spans="1:11" ht="54" customHeight="1" x14ac:dyDescent="0.25">
      <c r="A40" s="1" t="s">
        <v>26</v>
      </c>
      <c r="B40" s="15" t="s">
        <v>23</v>
      </c>
      <c r="C40" s="1" t="s">
        <v>13</v>
      </c>
      <c r="D40" s="2">
        <f>(18900)/1000</f>
        <v>18.899999999999999</v>
      </c>
      <c r="E40" s="9" t="s">
        <v>53</v>
      </c>
      <c r="F40" s="4">
        <f t="shared" ref="F40:F45" si="33">SUM(D40)</f>
        <v>18.899999999999999</v>
      </c>
      <c r="G40" s="1" t="s">
        <v>13</v>
      </c>
      <c r="H40" s="1" t="s">
        <v>13</v>
      </c>
      <c r="I40" s="5" t="str">
        <f t="shared" ref="I40:I45" si="34">E40</f>
        <v>Набір імплантів для остеосинтезу пошкодження променевої кістки: пластина, титан; блокуючий гвинт, шестигранник, титан; кортикальний гвинт</v>
      </c>
      <c r="J40" s="4">
        <f t="shared" ref="J40:J45" si="35">F40</f>
        <v>18.899999999999999</v>
      </c>
      <c r="K40" s="1" t="s">
        <v>13</v>
      </c>
    </row>
    <row r="41" spans="1:11" ht="55.5" customHeight="1" x14ac:dyDescent="0.25">
      <c r="A41" s="1" t="s">
        <v>26</v>
      </c>
      <c r="B41" s="15" t="s">
        <v>23</v>
      </c>
      <c r="C41" s="1" t="s">
        <v>13</v>
      </c>
      <c r="D41" s="2">
        <f>(18500)/1000</f>
        <v>18.5</v>
      </c>
      <c r="E41" s="9" t="s">
        <v>53</v>
      </c>
      <c r="F41" s="4">
        <f t="shared" si="33"/>
        <v>18.5</v>
      </c>
      <c r="G41" s="1" t="s">
        <v>13</v>
      </c>
      <c r="H41" s="1" t="s">
        <v>13</v>
      </c>
      <c r="I41" s="5" t="str">
        <f t="shared" si="34"/>
        <v>Набір імплантів для остеосинтезу пошкодження променевої кістки: пластина, титан; блокуючий гвинт, шестигранник, титан; кортикальний гвинт</v>
      </c>
      <c r="J41" s="4">
        <f t="shared" si="35"/>
        <v>18.5</v>
      </c>
      <c r="K41" s="1" t="s">
        <v>13</v>
      </c>
    </row>
    <row r="42" spans="1:11" ht="54" customHeight="1" x14ac:dyDescent="0.25">
      <c r="A42" s="1" t="s">
        <v>26</v>
      </c>
      <c r="B42" s="15" t="s">
        <v>23</v>
      </c>
      <c r="C42" s="1" t="s">
        <v>13</v>
      </c>
      <c r="D42" s="2">
        <f>(18900)/1000</f>
        <v>18.899999999999999</v>
      </c>
      <c r="E42" s="9" t="s">
        <v>53</v>
      </c>
      <c r="F42" s="4">
        <f t="shared" si="33"/>
        <v>18.899999999999999</v>
      </c>
      <c r="G42" s="1" t="s">
        <v>13</v>
      </c>
      <c r="H42" s="1" t="s">
        <v>13</v>
      </c>
      <c r="I42" s="5" t="str">
        <f t="shared" si="34"/>
        <v>Набір імплантів для остеосинтезу пошкодження променевої кістки: пластина, титан; блокуючий гвинт, шестигранник, титан; кортикальний гвинт</v>
      </c>
      <c r="J42" s="4">
        <f t="shared" si="35"/>
        <v>18.899999999999999</v>
      </c>
      <c r="K42" s="1" t="s">
        <v>13</v>
      </c>
    </row>
    <row r="43" spans="1:11" ht="55.5" customHeight="1" x14ac:dyDescent="0.25">
      <c r="A43" s="1" t="s">
        <v>26</v>
      </c>
      <c r="B43" s="15" t="s">
        <v>23</v>
      </c>
      <c r="C43" s="1" t="s">
        <v>13</v>
      </c>
      <c r="D43" s="2">
        <f>(18500)/1000</f>
        <v>18.5</v>
      </c>
      <c r="E43" s="9" t="s">
        <v>63</v>
      </c>
      <c r="F43" s="4">
        <f t="shared" si="33"/>
        <v>18.5</v>
      </c>
      <c r="G43" s="1" t="s">
        <v>13</v>
      </c>
      <c r="H43" s="1" t="s">
        <v>13</v>
      </c>
      <c r="I43" s="5" t="str">
        <f t="shared" si="34"/>
        <v>Набір імплантів для остеосинтезу пошкодження ключиці: ключна пластина, титан; блокуючий гвинт, шестигранник, титан; кортикальний гвинт</v>
      </c>
      <c r="J43" s="4">
        <f t="shared" si="35"/>
        <v>18.5</v>
      </c>
      <c r="K43" s="1" t="s">
        <v>13</v>
      </c>
    </row>
    <row r="44" spans="1:11" ht="54" customHeight="1" x14ac:dyDescent="0.25">
      <c r="A44" s="1" t="s">
        <v>26</v>
      </c>
      <c r="B44" s="15" t="s">
        <v>23</v>
      </c>
      <c r="C44" s="1" t="s">
        <v>13</v>
      </c>
      <c r="D44" s="2">
        <f>(18700)/1000</f>
        <v>18.7</v>
      </c>
      <c r="E44" s="9" t="s">
        <v>53</v>
      </c>
      <c r="F44" s="4">
        <f t="shared" si="33"/>
        <v>18.7</v>
      </c>
      <c r="G44" s="1" t="s">
        <v>13</v>
      </c>
      <c r="H44" s="1" t="s">
        <v>13</v>
      </c>
      <c r="I44" s="5" t="str">
        <f t="shared" si="34"/>
        <v>Набір імплантів для остеосинтезу пошкодження променевої кістки: пластина, титан; блокуючий гвинт, шестигранник, титан; кортикальний гвинт</v>
      </c>
      <c r="J44" s="4">
        <f t="shared" si="35"/>
        <v>18.7</v>
      </c>
      <c r="K44" s="1" t="s">
        <v>13</v>
      </c>
    </row>
    <row r="45" spans="1:11" ht="55.5" customHeight="1" x14ac:dyDescent="0.25">
      <c r="A45" s="1" t="s">
        <v>26</v>
      </c>
      <c r="B45" s="15" t="s">
        <v>23</v>
      </c>
      <c r="C45" s="1" t="s">
        <v>13</v>
      </c>
      <c r="D45" s="2">
        <f>(19200)/1000</f>
        <v>19.2</v>
      </c>
      <c r="E45" s="9" t="s">
        <v>64</v>
      </c>
      <c r="F45" s="4">
        <f t="shared" si="33"/>
        <v>19.2</v>
      </c>
      <c r="G45" s="1" t="s">
        <v>13</v>
      </c>
      <c r="H45" s="1" t="s">
        <v>13</v>
      </c>
      <c r="I45" s="5" t="str">
        <f t="shared" si="34"/>
        <v>Набір імплантів для остеосинтезу пошкодження ключиці: Ключна пластина Hook, титан; блокуючий гвинт, шестигранник, титан; кортикальний гвинт</v>
      </c>
      <c r="J45" s="4">
        <f t="shared" si="35"/>
        <v>19.2</v>
      </c>
      <c r="K45" s="1" t="s">
        <v>13</v>
      </c>
    </row>
    <row r="46" spans="1:11" ht="54" customHeight="1" x14ac:dyDescent="0.25">
      <c r="A46" s="1" t="s">
        <v>26</v>
      </c>
      <c r="B46" s="15" t="s">
        <v>23</v>
      </c>
      <c r="C46" s="1" t="s">
        <v>13</v>
      </c>
      <c r="D46" s="2">
        <f>(50000)/1000</f>
        <v>50</v>
      </c>
      <c r="E46" s="9" t="s">
        <v>49</v>
      </c>
      <c r="F46" s="4">
        <f t="shared" si="30"/>
        <v>50</v>
      </c>
      <c r="G46" s="1" t="s">
        <v>13</v>
      </c>
      <c r="H46" s="1" t="s">
        <v>13</v>
      </c>
      <c r="I46" s="5" t="str">
        <f t="shared" si="31"/>
        <v>Резолют Інтегріті коронарна стент-система з покриттям зотаролімус</v>
      </c>
      <c r="J46" s="4">
        <f t="shared" si="32"/>
        <v>50</v>
      </c>
      <c r="K46" s="1" t="s">
        <v>13</v>
      </c>
    </row>
    <row r="47" spans="1:11" ht="55.5" customHeight="1" x14ac:dyDescent="0.25">
      <c r="A47" s="1" t="s">
        <v>26</v>
      </c>
      <c r="B47" s="15" t="s">
        <v>23</v>
      </c>
      <c r="C47" s="1" t="s">
        <v>13</v>
      </c>
      <c r="D47" s="2">
        <f>(12900)/1000</f>
        <v>12.9</v>
      </c>
      <c r="E47" s="9" t="s">
        <v>50</v>
      </c>
      <c r="F47" s="4">
        <f t="shared" si="30"/>
        <v>12.9</v>
      </c>
      <c r="G47" s="1" t="s">
        <v>13</v>
      </c>
      <c r="H47" s="1" t="s">
        <v>13</v>
      </c>
      <c r="I47" s="5" t="str">
        <f t="shared" si="31"/>
        <v>Соляріс балонний дилятаційний катетер швидкої заміни</v>
      </c>
      <c r="J47" s="4">
        <f t="shared" si="32"/>
        <v>12.9</v>
      </c>
      <c r="K47" s="1" t="s">
        <v>13</v>
      </c>
    </row>
    <row r="48" spans="1:11" ht="54" customHeight="1" x14ac:dyDescent="0.25">
      <c r="A48" s="1" t="s">
        <v>26</v>
      </c>
      <c r="B48" s="15" t="s">
        <v>23</v>
      </c>
      <c r="C48" s="1" t="s">
        <v>13</v>
      </c>
      <c r="D48" s="2">
        <f>(11400)/1000</f>
        <v>11.4</v>
      </c>
      <c r="E48" s="9" t="s">
        <v>65</v>
      </c>
      <c r="F48" s="4">
        <f t="shared" ref="F48" si="36">SUM(D48)</f>
        <v>11.4</v>
      </c>
      <c r="G48" s="1" t="s">
        <v>13</v>
      </c>
      <c r="H48" s="1" t="s">
        <v>13</v>
      </c>
      <c r="I48" s="5" t="str">
        <f t="shared" ref="I48" si="37">E48</f>
        <v>Провідник коронарний Boston Scientific PT2 Moderate support</v>
      </c>
      <c r="J48" s="4">
        <f t="shared" ref="J48" si="38">F48</f>
        <v>11.4</v>
      </c>
      <c r="K48" s="1" t="s">
        <v>13</v>
      </c>
    </row>
    <row r="49" spans="1:11" ht="35.25" customHeight="1" x14ac:dyDescent="0.25">
      <c r="A49" s="1" t="s">
        <v>27</v>
      </c>
      <c r="B49" s="15" t="s">
        <v>12</v>
      </c>
      <c r="C49" s="1" t="s">
        <v>13</v>
      </c>
      <c r="D49" s="2">
        <f>(2052)/1000</f>
        <v>2.052</v>
      </c>
      <c r="E49" s="7" t="s">
        <v>31</v>
      </c>
      <c r="F49" s="4">
        <f>SUM(D49)</f>
        <v>2.052</v>
      </c>
      <c r="G49" s="1" t="s">
        <v>13</v>
      </c>
      <c r="H49" s="1" t="s">
        <v>13</v>
      </c>
      <c r="I49" s="5" t="str">
        <f>E49</f>
        <v>Формалін 37% по 5.5 кг</v>
      </c>
      <c r="J49" s="4">
        <f>F49</f>
        <v>2.052</v>
      </c>
      <c r="K49" s="1" t="s">
        <v>13</v>
      </c>
    </row>
    <row r="50" spans="1:11" ht="36.75" customHeight="1" x14ac:dyDescent="0.25">
      <c r="A50" s="1" t="s">
        <v>27</v>
      </c>
      <c r="B50" s="15" t="s">
        <v>12</v>
      </c>
      <c r="C50" s="1" t="s">
        <v>13</v>
      </c>
      <c r="D50" s="2">
        <f>(6110)/1000</f>
        <v>6.11</v>
      </c>
      <c r="E50" s="10" t="s">
        <v>33</v>
      </c>
      <c r="F50" s="4">
        <f t="shared" ref="F50:F61" si="39">SUM(D50)</f>
        <v>6.11</v>
      </c>
      <c r="G50" s="1" t="s">
        <v>13</v>
      </c>
      <c r="H50" s="1" t="s">
        <v>13</v>
      </c>
      <c r="I50" s="5" t="str">
        <f>E50</f>
        <v>Мікропробірка "Альбамед" тип Еллендорф, 2мл ПП, 500 шт/паков</v>
      </c>
      <c r="J50" s="4">
        <f t="shared" ref="J50" si="40">F50</f>
        <v>6.11</v>
      </c>
      <c r="K50" s="1" t="s">
        <v>13</v>
      </c>
    </row>
    <row r="51" spans="1:11" ht="35.25" customHeight="1" x14ac:dyDescent="0.25">
      <c r="A51" s="1" t="s">
        <v>27</v>
      </c>
      <c r="B51" s="15" t="s">
        <v>12</v>
      </c>
      <c r="C51" s="1" t="s">
        <v>13</v>
      </c>
      <c r="D51" s="2">
        <v>4.8</v>
      </c>
      <c r="E51" s="10" t="s">
        <v>34</v>
      </c>
      <c r="F51" s="4">
        <f t="shared" si="39"/>
        <v>4.8</v>
      </c>
      <c r="G51" s="1" t="s">
        <v>13</v>
      </c>
      <c r="H51" s="1" t="s">
        <v>13</v>
      </c>
      <c r="I51" s="5" t="str">
        <f>E51</f>
        <v>Наконечники "Альбамед" тип Гілсон, універсальні 1000 мкл, синя, ПП 500шт/пак</v>
      </c>
      <c r="J51" s="4">
        <f t="shared" ref="J51:J61" si="41">F51</f>
        <v>4.8</v>
      </c>
      <c r="K51" s="1" t="s">
        <v>13</v>
      </c>
    </row>
    <row r="52" spans="1:11" ht="31.5" x14ac:dyDescent="0.25">
      <c r="A52" s="1" t="s">
        <v>27</v>
      </c>
      <c r="B52" s="15" t="s">
        <v>12</v>
      </c>
      <c r="C52" s="1" t="s">
        <v>13</v>
      </c>
      <c r="D52" s="2">
        <f>(360)/1000</f>
        <v>0.36</v>
      </c>
      <c r="E52" s="10" t="s">
        <v>35</v>
      </c>
      <c r="F52" s="4">
        <f t="shared" ref="F52:F53" si="42">SUM(D52)</f>
        <v>0.36</v>
      </c>
      <c r="G52" s="1" t="s">
        <v>13</v>
      </c>
      <c r="H52" s="1" t="s">
        <v>13</v>
      </c>
      <c r="I52" s="5" t="str">
        <f>E52</f>
        <v>Книга реєстрації вхідн. документів</v>
      </c>
      <c r="J52" s="4">
        <f t="shared" ref="J52:J53" si="43">F52</f>
        <v>0.36</v>
      </c>
      <c r="K52" s="1" t="s">
        <v>13</v>
      </c>
    </row>
    <row r="53" spans="1:11" ht="31.5" x14ac:dyDescent="0.25">
      <c r="A53" s="1" t="s">
        <v>27</v>
      </c>
      <c r="B53" s="15" t="s">
        <v>12</v>
      </c>
      <c r="C53" s="1" t="s">
        <v>13</v>
      </c>
      <c r="D53" s="2">
        <f>(480)/1000</f>
        <v>0.48</v>
      </c>
      <c r="E53" s="10" t="s">
        <v>35</v>
      </c>
      <c r="F53" s="4">
        <f t="shared" si="42"/>
        <v>0.48</v>
      </c>
      <c r="G53" s="1" t="s">
        <v>13</v>
      </c>
      <c r="H53" s="1" t="s">
        <v>13</v>
      </c>
      <c r="I53" s="5" t="str">
        <f>E53</f>
        <v>Книга реєстрації вхідн. документів</v>
      </c>
      <c r="J53" s="4">
        <f t="shared" si="43"/>
        <v>0.48</v>
      </c>
      <c r="K53" s="1" t="s">
        <v>13</v>
      </c>
    </row>
    <row r="54" spans="1:11" ht="31.5" x14ac:dyDescent="0.25">
      <c r="A54" s="1" t="s">
        <v>27</v>
      </c>
      <c r="B54" s="15" t="s">
        <v>12</v>
      </c>
      <c r="C54" s="1" t="s">
        <v>13</v>
      </c>
      <c r="D54" s="2">
        <f>(480)/1000</f>
        <v>0.48</v>
      </c>
      <c r="E54" s="10" t="s">
        <v>36</v>
      </c>
      <c r="F54" s="4">
        <f t="shared" si="39"/>
        <v>0.48</v>
      </c>
      <c r="G54" s="1" t="s">
        <v>13</v>
      </c>
      <c r="H54" s="1" t="s">
        <v>13</v>
      </c>
      <c r="I54" s="5" t="str">
        <f>E54</f>
        <v>Книга реєстрації вихідн. документів</v>
      </c>
      <c r="J54" s="4">
        <f t="shared" si="41"/>
        <v>0.48</v>
      </c>
      <c r="K54" s="1" t="s">
        <v>13</v>
      </c>
    </row>
    <row r="55" spans="1:11" ht="31.5" x14ac:dyDescent="0.25">
      <c r="A55" s="1" t="s">
        <v>27</v>
      </c>
      <c r="B55" s="15" t="s">
        <v>12</v>
      </c>
      <c r="C55" s="1"/>
      <c r="D55" s="2">
        <f>(1200)/1000</f>
        <v>1.2</v>
      </c>
      <c r="E55" s="10" t="s">
        <v>37</v>
      </c>
      <c r="F55" s="4">
        <f t="shared" si="39"/>
        <v>1.2</v>
      </c>
      <c r="G55" s="1"/>
      <c r="H55" s="1"/>
      <c r="I55" s="5" t="str">
        <f t="shared" ref="I55:I60" si="44">E55</f>
        <v>Агар Сабуро /  Чашка Петрі</v>
      </c>
      <c r="J55" s="4">
        <f t="shared" si="41"/>
        <v>1.2</v>
      </c>
      <c r="K55" s="1" t="s">
        <v>13</v>
      </c>
    </row>
    <row r="56" spans="1:11" ht="31.5" x14ac:dyDescent="0.25">
      <c r="A56" s="1" t="s">
        <v>27</v>
      </c>
      <c r="B56" s="15" t="s">
        <v>12</v>
      </c>
      <c r="C56" s="1" t="s">
        <v>13</v>
      </c>
      <c r="D56" s="2">
        <f>(350)/1000</f>
        <v>0.35</v>
      </c>
      <c r="E56" s="10" t="s">
        <v>38</v>
      </c>
      <c r="F56" s="4">
        <f t="shared" si="39"/>
        <v>0.35</v>
      </c>
      <c r="G56" s="1" t="s">
        <v>13</v>
      </c>
      <c r="H56" s="1" t="s">
        <v>13</v>
      </c>
      <c r="I56" s="5" t="str">
        <f t="shared" si="44"/>
        <v>Диски Азтреонам АТМ (30 мкг)</v>
      </c>
      <c r="J56" s="4">
        <f t="shared" si="41"/>
        <v>0.35</v>
      </c>
      <c r="K56" s="1" t="s">
        <v>13</v>
      </c>
    </row>
    <row r="57" spans="1:11" ht="31.5" x14ac:dyDescent="0.25">
      <c r="A57" s="1" t="s">
        <v>27</v>
      </c>
      <c r="B57" s="15" t="s">
        <v>12</v>
      </c>
      <c r="C57" s="1" t="s">
        <v>13</v>
      </c>
      <c r="D57" s="2">
        <f>(350)/1000</f>
        <v>0.35</v>
      </c>
      <c r="E57" s="10" t="s">
        <v>39</v>
      </c>
      <c r="F57" s="4">
        <f t="shared" si="39"/>
        <v>0.35</v>
      </c>
      <c r="G57" s="1" t="s">
        <v>13</v>
      </c>
      <c r="H57" s="1" t="s">
        <v>13</v>
      </c>
      <c r="I57" s="5" t="str">
        <f t="shared" si="44"/>
        <v>Диски Бензилпеніцилін Р 1 IU</v>
      </c>
      <c r="J57" s="4">
        <f t="shared" si="41"/>
        <v>0.35</v>
      </c>
      <c r="K57" s="1" t="s">
        <v>13</v>
      </c>
    </row>
    <row r="58" spans="1:11" ht="31.5" x14ac:dyDescent="0.25">
      <c r="A58" s="1" t="s">
        <v>27</v>
      </c>
      <c r="B58" s="15" t="s">
        <v>12</v>
      </c>
      <c r="C58" s="1"/>
      <c r="D58" s="2">
        <f>(350)/1000</f>
        <v>0.35</v>
      </c>
      <c r="E58" s="10" t="s">
        <v>40</v>
      </c>
      <c r="F58" s="4">
        <f t="shared" si="39"/>
        <v>0.35</v>
      </c>
      <c r="G58" s="1" t="s">
        <v>13</v>
      </c>
      <c r="H58" s="1" t="s">
        <v>13</v>
      </c>
      <c r="I58" s="5" t="str">
        <f t="shared" si="44"/>
        <v>Диски Норфлоксацин NOR (10 мкг)</v>
      </c>
      <c r="J58" s="4">
        <f t="shared" si="41"/>
        <v>0.35</v>
      </c>
      <c r="K58" s="1" t="s">
        <v>13</v>
      </c>
    </row>
    <row r="59" spans="1:11" ht="31.5" x14ac:dyDescent="0.25">
      <c r="A59" s="1" t="s">
        <v>27</v>
      </c>
      <c r="B59" s="15" t="s">
        <v>12</v>
      </c>
      <c r="C59" s="1" t="s">
        <v>13</v>
      </c>
      <c r="D59" s="2">
        <f>(350)/1000</f>
        <v>0.35</v>
      </c>
      <c r="E59" s="10" t="s">
        <v>41</v>
      </c>
      <c r="F59" s="4">
        <f t="shared" si="39"/>
        <v>0.35</v>
      </c>
      <c r="G59" s="1" t="s">
        <v>13</v>
      </c>
      <c r="H59" s="1" t="s">
        <v>13</v>
      </c>
      <c r="I59" s="5" t="str">
        <f t="shared" si="44"/>
        <v>Диски Оксацилін  ОХ (1 мкг)</v>
      </c>
      <c r="J59" s="4">
        <f t="shared" si="41"/>
        <v>0.35</v>
      </c>
      <c r="K59" s="1" t="s">
        <v>13</v>
      </c>
    </row>
    <row r="60" spans="1:11" ht="31.5" x14ac:dyDescent="0.25">
      <c r="A60" s="1" t="s">
        <v>27</v>
      </c>
      <c r="B60" s="15" t="s">
        <v>12</v>
      </c>
      <c r="C60" s="1" t="s">
        <v>13</v>
      </c>
      <c r="D60" s="2">
        <f>(5500)/1000</f>
        <v>5.5</v>
      </c>
      <c r="E60" s="10" t="s">
        <v>42</v>
      </c>
      <c r="F60" s="4">
        <f t="shared" si="39"/>
        <v>5.5</v>
      </c>
      <c r="G60" s="1" t="s">
        <v>13</v>
      </c>
      <c r="H60" s="1" t="s">
        <v>13</v>
      </c>
      <c r="I60" s="5" t="str">
        <f t="shared" si="44"/>
        <v>Кисень газоподібний медичний 40л</v>
      </c>
      <c r="J60" s="4">
        <f t="shared" si="41"/>
        <v>5.5</v>
      </c>
      <c r="K60" s="1" t="s">
        <v>13</v>
      </c>
    </row>
    <row r="61" spans="1:11" ht="31.5" x14ac:dyDescent="0.25">
      <c r="A61" s="1" t="s">
        <v>27</v>
      </c>
      <c r="B61" s="15" t="s">
        <v>12</v>
      </c>
      <c r="C61" s="1" t="s">
        <v>13</v>
      </c>
      <c r="D61" s="2">
        <f>(5500)/1000</f>
        <v>5.5</v>
      </c>
      <c r="E61" s="10" t="s">
        <v>42</v>
      </c>
      <c r="F61" s="4">
        <f t="shared" si="39"/>
        <v>5.5</v>
      </c>
      <c r="G61" s="1" t="s">
        <v>13</v>
      </c>
      <c r="H61" s="1" t="s">
        <v>13</v>
      </c>
      <c r="I61" s="5" t="str">
        <f>E61</f>
        <v>Кисень газоподібний медичний 40л</v>
      </c>
      <c r="J61" s="4">
        <f t="shared" si="41"/>
        <v>5.5</v>
      </c>
      <c r="K61" s="1" t="s">
        <v>13</v>
      </c>
    </row>
    <row r="62" spans="1:11" ht="31.5" x14ac:dyDescent="0.25">
      <c r="A62" s="1" t="s">
        <v>27</v>
      </c>
      <c r="B62" s="15" t="s">
        <v>12</v>
      </c>
      <c r="C62" s="1" t="s">
        <v>13</v>
      </c>
      <c r="D62" s="2">
        <f>(15300)/1000</f>
        <v>15.3</v>
      </c>
      <c r="E62" s="10" t="s">
        <v>43</v>
      </c>
      <c r="F62" s="4">
        <f t="shared" ref="F62:F71" si="45">SUM(D62)</f>
        <v>15.3</v>
      </c>
      <c r="G62" s="1" t="s">
        <v>13</v>
      </c>
      <c r="H62" s="1" t="s">
        <v>13</v>
      </c>
      <c r="I62" s="5" t="str">
        <f>E62</f>
        <v>Морозильна скриня Grunhelm GCFW 380</v>
      </c>
      <c r="J62" s="4">
        <f t="shared" ref="J62:J71" si="46">F62</f>
        <v>15.3</v>
      </c>
      <c r="K62" s="1" t="s">
        <v>13</v>
      </c>
    </row>
    <row r="63" spans="1:11" ht="60" customHeight="1" x14ac:dyDescent="0.25">
      <c r="A63" s="1" t="s">
        <v>27</v>
      </c>
      <c r="B63" s="15" t="s">
        <v>12</v>
      </c>
      <c r="C63" s="1" t="s">
        <v>13</v>
      </c>
      <c r="D63" s="2">
        <f>(560)/1000</f>
        <v>0.56000000000000005</v>
      </c>
      <c r="E63" s="3" t="s">
        <v>28</v>
      </c>
      <c r="F63" s="4">
        <f t="shared" ref="F63" si="47">SUM(D63)</f>
        <v>0.56000000000000005</v>
      </c>
      <c r="G63" s="1" t="s">
        <v>13</v>
      </c>
      <c r="H63" s="1" t="s">
        <v>13</v>
      </c>
      <c r="I63" s="5" t="str">
        <f>E63</f>
        <v>Послуги централізованого спостереження за станом тривожної сигналізації та реагування ГШР ПЦО на відповідні сигнали на об'єкті</v>
      </c>
      <c r="J63" s="4">
        <f t="shared" ref="J63" si="48">F63</f>
        <v>0.56000000000000005</v>
      </c>
      <c r="K63" s="1" t="s">
        <v>13</v>
      </c>
    </row>
    <row r="64" spans="1:11" ht="54" customHeight="1" x14ac:dyDescent="0.25">
      <c r="A64" s="1" t="s">
        <v>27</v>
      </c>
      <c r="B64" s="15" t="s">
        <v>23</v>
      </c>
      <c r="C64" s="1" t="s">
        <v>13</v>
      </c>
      <c r="D64" s="2">
        <f>(19500)/1000</f>
        <v>19.5</v>
      </c>
      <c r="E64" s="7" t="s">
        <v>48</v>
      </c>
      <c r="F64" s="4">
        <f t="shared" si="45"/>
        <v>19.5</v>
      </c>
      <c r="G64" s="1" t="s">
        <v>13</v>
      </c>
      <c r="H64" s="1" t="s">
        <v>13</v>
      </c>
      <c r="I64" s="5" t="str">
        <f t="shared" ref="I64:I71" si="49">E64</f>
        <v>Набір імплантів для остеосинтезу перелому ключиці: пластина, титан; блокуючий гвинт, шестигранник, титан; кортикальний гвинт, титан</v>
      </c>
      <c r="J64" s="4">
        <f t="shared" si="46"/>
        <v>19.5</v>
      </c>
      <c r="K64" s="1" t="s">
        <v>13</v>
      </c>
    </row>
    <row r="65" spans="1:11" ht="72" customHeight="1" x14ac:dyDescent="0.25">
      <c r="A65" s="1" t="s">
        <v>27</v>
      </c>
      <c r="B65" s="15" t="s">
        <v>23</v>
      </c>
      <c r="C65" s="1" t="s">
        <v>13</v>
      </c>
      <c r="D65" s="2">
        <f>(18900)/1000</f>
        <v>18.899999999999999</v>
      </c>
      <c r="E65" s="7" t="s">
        <v>66</v>
      </c>
      <c r="F65" s="4">
        <f t="shared" ref="F65:F66" si="50">SUM(D65)</f>
        <v>18.899999999999999</v>
      </c>
      <c r="G65" s="1" t="s">
        <v>13</v>
      </c>
      <c r="H65" s="1" t="s">
        <v>13</v>
      </c>
      <c r="I65" s="8" t="str">
        <f t="shared" ref="I65:I66" si="51">E65</f>
        <v>Набір імплантів для остеосинтезу перелому променевої кістки: пластина, титан; блокуючий гвинт, шестигранник, титан; кортикальний гвинт, титан</v>
      </c>
      <c r="J65" s="4">
        <f t="shared" ref="J65:J66" si="52">F65</f>
        <v>18.899999999999999</v>
      </c>
      <c r="K65" s="1" t="s">
        <v>13</v>
      </c>
    </row>
    <row r="66" spans="1:11" ht="90.75" customHeight="1" x14ac:dyDescent="0.25">
      <c r="A66" s="1" t="s">
        <v>27</v>
      </c>
      <c r="B66" s="15" t="s">
        <v>23</v>
      </c>
      <c r="C66" s="1" t="s">
        <v>13</v>
      </c>
      <c r="D66" s="2">
        <f>(9800)/1000</f>
        <v>9.8000000000000007</v>
      </c>
      <c r="E66" s="7" t="s">
        <v>67</v>
      </c>
      <c r="F66" s="4">
        <f t="shared" si="50"/>
        <v>9.8000000000000007</v>
      </c>
      <c r="G66" s="1" t="s">
        <v>13</v>
      </c>
      <c r="H66" s="1" t="s">
        <v>13</v>
      </c>
      <c r="I66" s="8" t="str">
        <f t="shared" si="51"/>
        <v>Набір імплантів для остеосинтезу перелому плюсневої кістки: пластина, титан; блокуючий гвинт, шестигранник, титан; кортикальний гвинт, титан</v>
      </c>
      <c r="J66" s="4">
        <f t="shared" si="52"/>
        <v>9.8000000000000007</v>
      </c>
      <c r="K66" s="1" t="s">
        <v>13</v>
      </c>
    </row>
    <row r="67" spans="1:11" ht="75" customHeight="1" x14ac:dyDescent="0.25">
      <c r="A67" s="1" t="s">
        <v>27</v>
      </c>
      <c r="B67" s="15" t="s">
        <v>23</v>
      </c>
      <c r="C67" s="1" t="s">
        <v>13</v>
      </c>
      <c r="D67" s="2">
        <f>(18500)/1000</f>
        <v>18.5</v>
      </c>
      <c r="E67" s="7" t="s">
        <v>48</v>
      </c>
      <c r="F67" s="4">
        <f t="shared" si="45"/>
        <v>18.5</v>
      </c>
      <c r="G67" s="1" t="s">
        <v>13</v>
      </c>
      <c r="H67" s="1" t="s">
        <v>13</v>
      </c>
      <c r="I67" s="8" t="str">
        <f t="shared" si="49"/>
        <v>Набір імплантів для остеосинтезу перелому ключиці: пластина, титан; блокуючий гвинт, шестигранник, титан; кортикальний гвинт, титан</v>
      </c>
      <c r="J67" s="4">
        <f t="shared" si="46"/>
        <v>18.5</v>
      </c>
      <c r="K67" s="1" t="s">
        <v>13</v>
      </c>
    </row>
    <row r="68" spans="1:11" ht="77.25" customHeight="1" x14ac:dyDescent="0.25">
      <c r="A68" s="1" t="s">
        <v>27</v>
      </c>
      <c r="B68" s="15" t="s">
        <v>23</v>
      </c>
      <c r="C68" s="1" t="s">
        <v>13</v>
      </c>
      <c r="D68" s="2">
        <f>(18500)/1000</f>
        <v>18.5</v>
      </c>
      <c r="E68" s="7" t="s">
        <v>48</v>
      </c>
      <c r="F68" s="4">
        <f t="shared" si="45"/>
        <v>18.5</v>
      </c>
      <c r="G68" s="1" t="s">
        <v>13</v>
      </c>
      <c r="H68" s="1" t="s">
        <v>13</v>
      </c>
      <c r="I68" s="8" t="str">
        <f t="shared" si="49"/>
        <v>Набір імплантів для остеосинтезу перелому ключиці: пластина, титан; блокуючий гвинт, шестигранник, титан; кортикальний гвинт, титан</v>
      </c>
      <c r="J68" s="4">
        <f t="shared" si="46"/>
        <v>18.5</v>
      </c>
      <c r="K68" s="1" t="s">
        <v>13</v>
      </c>
    </row>
    <row r="69" spans="1:11" ht="78" customHeight="1" x14ac:dyDescent="0.25">
      <c r="A69" s="1" t="s">
        <v>27</v>
      </c>
      <c r="B69" s="15" t="s">
        <v>23</v>
      </c>
      <c r="C69" s="1" t="s">
        <v>13</v>
      </c>
      <c r="D69" s="2">
        <f>(100191)/1000</f>
        <v>100.191</v>
      </c>
      <c r="E69" s="7" t="s">
        <v>68</v>
      </c>
      <c r="F69" s="4">
        <f t="shared" ref="F69:F70" si="53">SUM(D69)</f>
        <v>100.191</v>
      </c>
      <c r="G69" s="1" t="s">
        <v>13</v>
      </c>
      <c r="H69" s="1" t="s">
        <v>13</v>
      </c>
      <c r="I69" s="8" t="str">
        <f t="shared" ref="I69:I70" si="54">E69</f>
        <v>Актилізе ліофілізат для розчину для внутрішньовенних інфузій 50мг</v>
      </c>
      <c r="J69" s="4">
        <f t="shared" ref="J69:J70" si="55">F69</f>
        <v>100.191</v>
      </c>
      <c r="K69" s="1" t="s">
        <v>13</v>
      </c>
    </row>
    <row r="70" spans="1:11" ht="78" customHeight="1" x14ac:dyDescent="0.25">
      <c r="A70" s="1" t="s">
        <v>27</v>
      </c>
      <c r="B70" s="15" t="s">
        <v>23</v>
      </c>
      <c r="C70" s="1" t="s">
        <v>13</v>
      </c>
      <c r="D70" s="2">
        <f>(2400)/1000</f>
        <v>2.4</v>
      </c>
      <c r="E70" s="7" t="s">
        <v>69</v>
      </c>
      <c r="F70" s="4">
        <f t="shared" si="53"/>
        <v>2.4</v>
      </c>
      <c r="G70" s="1" t="s">
        <v>13</v>
      </c>
      <c r="H70" s="1" t="s">
        <v>13</v>
      </c>
      <c r="I70" s="8" t="str">
        <f t="shared" si="54"/>
        <v>Бензин А-95</v>
      </c>
      <c r="J70" s="4">
        <f t="shared" si="55"/>
        <v>2.4</v>
      </c>
      <c r="K70" s="1" t="s">
        <v>13</v>
      </c>
    </row>
    <row r="71" spans="1:11" ht="78" customHeight="1" x14ac:dyDescent="0.25">
      <c r="A71" s="1" t="s">
        <v>27</v>
      </c>
      <c r="B71" s="15" t="s">
        <v>23</v>
      </c>
      <c r="C71" s="1" t="s">
        <v>13</v>
      </c>
      <c r="D71" s="2">
        <f>(9450)/1000</f>
        <v>9.4499999999999993</v>
      </c>
      <c r="E71" s="7" t="s">
        <v>67</v>
      </c>
      <c r="F71" s="4">
        <f t="shared" si="45"/>
        <v>9.4499999999999993</v>
      </c>
      <c r="G71" s="1" t="s">
        <v>13</v>
      </c>
      <c r="H71" s="1" t="s">
        <v>13</v>
      </c>
      <c r="I71" s="8" t="str">
        <f t="shared" si="49"/>
        <v>Набір імплантів для остеосинтезу перелому плюсневої кістки: пластина, титан; блокуючий гвинт, шестигранник, титан; кортикальний гвинт, титан</v>
      </c>
      <c r="J71" s="4">
        <f t="shared" si="46"/>
        <v>9.4499999999999993</v>
      </c>
      <c r="K71" s="1" t="s">
        <v>13</v>
      </c>
    </row>
    <row r="72" spans="1:11" ht="78" customHeight="1" x14ac:dyDescent="0.25">
      <c r="A72" s="1" t="s">
        <v>27</v>
      </c>
      <c r="B72" s="15" t="s">
        <v>23</v>
      </c>
      <c r="C72" s="1" t="s">
        <v>13</v>
      </c>
      <c r="D72" s="2">
        <f>(18500)/1000</f>
        <v>18.5</v>
      </c>
      <c r="E72" s="7" t="s">
        <v>66</v>
      </c>
      <c r="F72" s="4">
        <f t="shared" ref="F72" si="56">SUM(D72)</f>
        <v>18.5</v>
      </c>
      <c r="G72" s="1" t="s">
        <v>13</v>
      </c>
      <c r="H72" s="1" t="s">
        <v>13</v>
      </c>
      <c r="I72" s="8" t="str">
        <f t="shared" ref="I72" si="57">E72</f>
        <v>Набір імплантів для остеосинтезу перелому променевої кістки: пластина, титан; блокуючий гвинт, шестигранник, титан; кортикальний гвинт, титан</v>
      </c>
      <c r="J72" s="4">
        <f t="shared" ref="J72" si="58">F72</f>
        <v>18.5</v>
      </c>
      <c r="K72" s="1" t="s">
        <v>13</v>
      </c>
    </row>
    <row r="73" spans="1:11" s="20" customFormat="1" ht="25.5" customHeight="1" x14ac:dyDescent="0.25">
      <c r="A73" s="16"/>
      <c r="B73" s="16"/>
      <c r="C73" s="17" t="s">
        <v>13</v>
      </c>
      <c r="D73" s="18">
        <f>SUM(D5:D72)</f>
        <v>993.73875999999984</v>
      </c>
      <c r="E73" s="19"/>
      <c r="F73" s="18">
        <f>SUM(F5:F72)</f>
        <v>993.73875999999984</v>
      </c>
      <c r="G73" s="16"/>
      <c r="H73" s="17" t="s">
        <v>13</v>
      </c>
      <c r="I73" s="19"/>
      <c r="J73" s="18">
        <f>SUM(J5:J72)</f>
        <v>993.73875999999984</v>
      </c>
      <c r="K73" s="16"/>
    </row>
    <row r="74" spans="1:11" ht="13.5" customHeight="1" x14ac:dyDescent="0.25">
      <c r="C74" s="22"/>
      <c r="D74" s="23"/>
      <c r="E74" s="24"/>
    </row>
    <row r="75" spans="1:11" ht="22.5" customHeight="1" x14ac:dyDescent="0.25">
      <c r="B75" s="21" t="s">
        <v>44</v>
      </c>
      <c r="C75" s="29"/>
      <c r="D75" s="29"/>
      <c r="E75" s="26" t="s">
        <v>19</v>
      </c>
    </row>
    <row r="76" spans="1:11" ht="19.5" customHeight="1" x14ac:dyDescent="0.25">
      <c r="C76" s="28" t="s">
        <v>16</v>
      </c>
      <c r="D76" s="28"/>
    </row>
    <row r="77" spans="1:11" ht="20.25" customHeight="1" x14ac:dyDescent="0.25">
      <c r="A77" s="28" t="s">
        <v>45</v>
      </c>
      <c r="B77" s="28"/>
      <c r="C77" s="29"/>
      <c r="D77" s="29"/>
      <c r="E77" s="26" t="s">
        <v>21</v>
      </c>
    </row>
    <row r="78" spans="1:11" ht="21" customHeight="1" x14ac:dyDescent="0.25">
      <c r="C78" s="30" t="s">
        <v>16</v>
      </c>
      <c r="D78" s="30"/>
    </row>
    <row r="79" spans="1:11" ht="21.75" customHeight="1" x14ac:dyDescent="0.25">
      <c r="B79" s="21" t="s">
        <v>17</v>
      </c>
      <c r="C79" s="29"/>
      <c r="D79" s="29"/>
      <c r="E79" s="26" t="s">
        <v>18</v>
      </c>
    </row>
    <row r="80" spans="1:11" ht="20.25" customHeight="1" x14ac:dyDescent="0.25">
      <c r="C80" s="28" t="s">
        <v>16</v>
      </c>
      <c r="D80" s="28"/>
    </row>
  </sheetData>
  <mergeCells count="15">
    <mergeCell ref="A77:B77"/>
    <mergeCell ref="K3:K4"/>
    <mergeCell ref="A1:K1"/>
    <mergeCell ref="A2:K2"/>
    <mergeCell ref="A3:A4"/>
    <mergeCell ref="B3:B4"/>
    <mergeCell ref="C3:E3"/>
    <mergeCell ref="F3:F4"/>
    <mergeCell ref="G3:J3"/>
    <mergeCell ref="C80:D80"/>
    <mergeCell ref="C75:D75"/>
    <mergeCell ref="C76:D76"/>
    <mergeCell ref="C77:D77"/>
    <mergeCell ref="C78:D78"/>
    <mergeCell ref="C79:D79"/>
  </mergeCells>
  <phoneticPr fontId="3" type="noConversion"/>
  <pageMargins left="0.31496062992125984" right="0.11811023622047245" top="0.59055118110236227" bottom="0.3937007874015748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ІІІ кв.2025</vt:lpstr>
      <vt:lpstr>'ІІІ кв.2025'!Область_печати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2025-10-08T12:31:20Z</cp:lastPrinted>
  <dcterms:created xsi:type="dcterms:W3CDTF">2006-09-16T00:00:00Z</dcterms:created>
  <dcterms:modified xsi:type="dcterms:W3CDTF">2025-10-08T12:35:07Z</dcterms:modified>
</cp:coreProperties>
</file>