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45" windowWidth="14805" windowHeight="7470" firstSheet="1" activeTab="1"/>
  </bookViews>
  <sheets>
    <sheet name="Лист2" sheetId="2" state="hidden" r:id="rId1"/>
    <sheet name="І кв.2026" sheetId="5" r:id="rId2"/>
  </sheets>
  <definedNames>
    <definedName name="_xlnm.Print_Area" localSheetId="1">'І кв.2026'!$A$1:$K$47</definedName>
  </definedNames>
  <calcPr calcId="145621"/>
</workbook>
</file>

<file path=xl/calcChain.xml><?xml version="1.0" encoding="utf-8"?>
<calcChain xmlns="http://schemas.openxmlformats.org/spreadsheetml/2006/main">
  <c r="D39" i="5" l="1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8" i="5"/>
  <c r="D7" i="5"/>
  <c r="D5" i="5"/>
  <c r="I36" i="5" l="1"/>
  <c r="I34" i="5"/>
  <c r="F34" i="5"/>
  <c r="J34" i="5" s="1"/>
  <c r="I33" i="5"/>
  <c r="F33" i="5"/>
  <c r="J33" i="5" s="1"/>
  <c r="F32" i="5"/>
  <c r="J32" i="5" s="1"/>
  <c r="I31" i="5"/>
  <c r="I32" i="5"/>
  <c r="F31" i="5"/>
  <c r="J31" i="5" s="1"/>
  <c r="F36" i="5"/>
  <c r="D40" i="5" l="1"/>
  <c r="I29" i="5"/>
  <c r="F29" i="5"/>
  <c r="J29" i="5" s="1"/>
  <c r="I16" i="5"/>
  <c r="F16" i="5"/>
  <c r="I11" i="5"/>
  <c r="F11" i="5"/>
  <c r="J11" i="5" s="1"/>
  <c r="I38" i="5"/>
  <c r="I39" i="5"/>
  <c r="F38" i="5"/>
  <c r="F39" i="5"/>
  <c r="J39" i="5" l="1"/>
  <c r="J38" i="5"/>
  <c r="I28" i="5"/>
  <c r="F28" i="5"/>
  <c r="J28" i="5" s="1"/>
  <c r="I27" i="5"/>
  <c r="F27" i="5"/>
  <c r="J27" i="5" s="1"/>
  <c r="I26" i="5"/>
  <c r="F26" i="5"/>
  <c r="J26" i="5" s="1"/>
  <c r="I25" i="5"/>
  <c r="F25" i="5"/>
  <c r="J25" i="5" s="1"/>
  <c r="F17" i="5" l="1"/>
  <c r="I17" i="5"/>
  <c r="J17" i="5"/>
  <c r="F18" i="5"/>
  <c r="J18" i="5" s="1"/>
  <c r="I18" i="5"/>
  <c r="F19" i="5"/>
  <c r="J19" i="5" s="1"/>
  <c r="I19" i="5"/>
  <c r="F20" i="5"/>
  <c r="J20" i="5" s="1"/>
  <c r="I20" i="5"/>
  <c r="I24" i="5"/>
  <c r="F24" i="5"/>
  <c r="J24" i="5" s="1"/>
  <c r="I30" i="5"/>
  <c r="F30" i="5"/>
  <c r="J30" i="5" s="1"/>
  <c r="I23" i="5"/>
  <c r="F23" i="5"/>
  <c r="J23" i="5" s="1"/>
  <c r="I22" i="5"/>
  <c r="F22" i="5"/>
  <c r="J22" i="5" s="1"/>
  <c r="I10" i="5"/>
  <c r="F10" i="5"/>
  <c r="J10" i="5" s="1"/>
  <c r="I9" i="5"/>
  <c r="F9" i="5"/>
  <c r="J9" i="5" s="1"/>
  <c r="I8" i="5"/>
  <c r="F8" i="5"/>
  <c r="J8" i="5" s="1"/>
  <c r="F12" i="5" l="1"/>
  <c r="F13" i="5"/>
  <c r="F14" i="5"/>
  <c r="F15" i="5"/>
  <c r="F35" i="5"/>
  <c r="I7" i="5" l="1"/>
  <c r="F7" i="5"/>
  <c r="J7" i="5" s="1"/>
  <c r="I21" i="5"/>
  <c r="F21" i="5"/>
  <c r="J21" i="5" s="1"/>
  <c r="I37" i="5"/>
  <c r="F37" i="5"/>
  <c r="J37" i="5" s="1"/>
  <c r="J36" i="5" l="1"/>
  <c r="I35" i="5" l="1"/>
  <c r="J35" i="5"/>
  <c r="J16" i="5"/>
  <c r="I15" i="5"/>
  <c r="J15" i="5"/>
  <c r="I14" i="5"/>
  <c r="J14" i="5"/>
  <c r="I13" i="5"/>
  <c r="J13" i="5"/>
  <c r="I12" i="5"/>
  <c r="J12" i="5"/>
  <c r="F6" i="5" l="1"/>
  <c r="J6" i="5" s="1"/>
  <c r="I6" i="5"/>
  <c r="F5" i="5" l="1"/>
  <c r="I5" i="5"/>
  <c r="F40" i="5" l="1"/>
  <c r="J5" i="5"/>
  <c r="J40" i="5" l="1"/>
</calcChain>
</file>

<file path=xl/sharedStrings.xml><?xml version="1.0" encoding="utf-8"?>
<sst xmlns="http://schemas.openxmlformats.org/spreadsheetml/2006/main" count="272" uniqueCount="64">
  <si>
    <t>Інформація про використання благодійних пожертв від фізичних та юридичних осіб</t>
  </si>
  <si>
    <t>Період</t>
  </si>
  <si>
    <t>Найменування юридичної особи(або позначення фізичної особи)</t>
  </si>
  <si>
    <t>Благодійні пожертви, що були отримані закладом охорони здоров'я від фізичних та юридичних осіб</t>
  </si>
  <si>
    <t>В грошовій формі, тис.грн.</t>
  </si>
  <si>
    <t>Перелік товарів і послуг в натуральнній формі</t>
  </si>
  <si>
    <t>Всього товарів і послуг в натуральній формі</t>
  </si>
  <si>
    <t>Використання закладом охорони здоров'я благодійних пожертв, отриманих у грошовій та натуральній(товари і послуги) формі</t>
  </si>
  <si>
    <t>Сума, тис.грн.</t>
  </si>
  <si>
    <t>Перелік використаних товарів та послуг у натуральній формі</t>
  </si>
  <si>
    <t>Сума, тис. грн.</t>
  </si>
  <si>
    <t>Залишок невикорастаних грошових коштів, товарів та послуг на кінець звітного періоду, тис. грн.</t>
  </si>
  <si>
    <t>Благодійний фонд Здоров'я</t>
  </si>
  <si>
    <t>-</t>
  </si>
  <si>
    <t>В натуральній формі (товари і послуги), тис.грн.</t>
  </si>
  <si>
    <t>Напрямки використання у грошовій формі (стаття витрат)</t>
  </si>
  <si>
    <t>Директор</t>
  </si>
  <si>
    <t>(підпис)</t>
  </si>
  <si>
    <t>Бухгалтер</t>
  </si>
  <si>
    <t>Благодійна допомога від фіз.осіб</t>
  </si>
  <si>
    <r>
      <t xml:space="preserve">    </t>
    </r>
    <r>
      <rPr>
        <u/>
        <sz val="12"/>
        <color indexed="8"/>
        <rFont val="Times New Roman"/>
        <family val="1"/>
        <charset val="204"/>
      </rPr>
      <t xml:space="preserve">        Світлана ПАЩЕНКО       </t>
    </r>
    <r>
      <rPr>
        <sz val="12"/>
        <color indexed="8"/>
        <rFont val="Times New Roman"/>
        <family val="1"/>
        <charset val="204"/>
      </rPr>
      <t xml:space="preserve"> </t>
    </r>
  </si>
  <si>
    <r>
      <t xml:space="preserve">      </t>
    </r>
    <r>
      <rPr>
        <u/>
        <sz val="12"/>
        <color indexed="8"/>
        <rFont val="Times New Roman"/>
        <family val="1"/>
        <charset val="204"/>
      </rPr>
      <t xml:space="preserve">     Ірина ЖИЦЬКА                </t>
    </r>
  </si>
  <si>
    <t>січень</t>
  </si>
  <si>
    <t>лютий</t>
  </si>
  <si>
    <t>березень</t>
  </si>
  <si>
    <t>Послуга централізованого спостереження за станом тривожної сигналізації та реагуванняГШР ПЦО на відповідні сигнали на об'єкти</t>
  </si>
  <si>
    <t>Благодіна допомога від БФ "Лікарі без кордонів"</t>
  </si>
  <si>
    <r>
      <t xml:space="preserve">КНП" Павлоградська  лікарня інтенсивного лікування" ПМР" </t>
    </r>
    <r>
      <rPr>
        <b/>
        <sz val="14"/>
        <color indexed="8"/>
        <rFont val="Times New Roman"/>
        <family val="1"/>
        <charset val="204"/>
      </rPr>
      <t xml:space="preserve">за І квартал </t>
    </r>
    <r>
      <rPr>
        <sz val="14"/>
        <color indexed="8"/>
        <rFont val="Times New Roman"/>
        <family val="1"/>
        <charset val="204"/>
      </rPr>
      <t>2026 року</t>
    </r>
  </si>
  <si>
    <t>Послуга з поточного ремонту машини пральної Ariston (заводський номер №801741012808, інв №10480274)</t>
  </si>
  <si>
    <t>Послуга з поточного ремонту Джерела безперебойного живлення (ДЖБ) марки LUXEON (модель UPS-3000ZX, інв №10410014) з заміною акумуляторних батарей</t>
  </si>
  <si>
    <t>Надання послуг з централізованого спостереження об'єкту технічними засобами сигналізації, з реагуванням групи швидкого реагування за березень</t>
  </si>
  <si>
    <t>Навчання на циклі тематичного удосконалення темою "Оцінювання повсякденного функціонування: практичні аспекти взаємодії експертних команд і лікуючих лікарів"</t>
  </si>
  <si>
    <t>Електроконфорка 417х295/30</t>
  </si>
  <si>
    <t>Реагент Lysercell WDF</t>
  </si>
  <si>
    <t>Гадолерій розчин для ін'єкцій 604,72 мг/мл фл по 10 мл у флаконах по 1 флакону в пачці</t>
  </si>
  <si>
    <t>Ебрантил розчин д/ін. 5мг/мл по 5мл (25мг) в амп. №5</t>
  </si>
  <si>
    <t>Реагент CELLPACK</t>
  </si>
  <si>
    <t>Тест на виявлення Тропоніну 25шт/уп</t>
  </si>
  <si>
    <t>Сечові смужки 10</t>
  </si>
  <si>
    <t>Набір реагентів для визначення тиреотропного гормону (ТТГ), 100 тестів</t>
  </si>
  <si>
    <t>Дренаж типу `Редон`Fr18</t>
  </si>
  <si>
    <t>Брилінта по 90мг.14 табл.у блістері</t>
  </si>
  <si>
    <t>Анальгін розчин для ін`єкцій 500 мг/мл по 2 мл в ампулі, по 5 амп., по 2 контури</t>
  </si>
  <si>
    <t>Резолют Інтегріті коронарна стент-система з покриттям зотаролімус</t>
  </si>
  <si>
    <t>Тотальний ендопротез кульшового суглобу безцементної фіксації у комплекті з ніжкою Аллокласік, металевою голівкою, крослінкованим вкладишем та чашкою Трілоджі Ай Ті</t>
  </si>
  <si>
    <t>Стрижні (титанові)</t>
  </si>
  <si>
    <t>Гвинти транспедикулярні</t>
  </si>
  <si>
    <t>Гайки/фіксатори</t>
  </si>
  <si>
    <t>DINJINSHR1VN Інсулін людський, РАПІД 100 МО/мл, 10 мл, флакон/64365</t>
  </si>
  <si>
    <t>Набір імплантів для остеосинтезу перелому ліктьової кістки: пластина, титан; блокуючий гвинт, шестигранник, титан; кортикальний гвинт, титан</t>
  </si>
  <si>
    <t>Набір імплантів для остеосинтезу перелому ключиці: пластина, титан; блокуючий гвинт, шестигранник, титан; кортикальний гвинт, титан</t>
  </si>
  <si>
    <t>Сухофрукти</t>
  </si>
  <si>
    <t>Сіль</t>
  </si>
  <si>
    <t>Сік фруктовий</t>
  </si>
  <si>
    <t>Дріжджі хлібопекарські пресовані ДСТУ4812:2007</t>
  </si>
  <si>
    <t>Суміш сухофруктів,ДСТУ 8494</t>
  </si>
  <si>
    <t>Капуста білоголова свіжа,пізньостигла, першого товарного сорту,ДСТУ 7033</t>
  </si>
  <si>
    <t>Дизельне пальне</t>
  </si>
  <si>
    <t>Сервер Dell R720, 2*1 Gb+2*10 Gb, 2*E5-2650v2, 16*4GB, H710, 4TB, корз, 2*750W</t>
  </si>
  <si>
    <t>Відсмоктувач медичний "БІОМЕД" модель 7Е-А</t>
  </si>
  <si>
    <t>БО БФ "ДОБРИЙ РУХ"</t>
  </si>
  <si>
    <t>В.о. головного бухгалтера</t>
  </si>
  <si>
    <r>
      <t xml:space="preserve">     </t>
    </r>
    <r>
      <rPr>
        <u/>
        <sz val="12"/>
        <color indexed="8"/>
        <rFont val="Times New Roman"/>
        <family val="1"/>
        <charset val="204"/>
      </rPr>
      <t xml:space="preserve">      Катерина БАКАНОВА     </t>
    </r>
  </si>
  <si>
    <t>Виконавець: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</si>
</sst>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0" fontId="11" fillId="0" borderId="0" applyFill="0" applyProtection="0"/>
    <xf numFmtId="0" fontId="12" fillId="0" borderId="0" applyFill="0" applyProtection="0"/>
    <xf numFmtId="0" fontId="1" fillId="0" borderId="0"/>
  </cellStyleXfs>
  <cellXfs count="79">
    <xf numFmtId="0" fontId="0" fillId="0" borderId="0" xfId="0"/>
    <xf numFmtId="0" fontId="5" fillId="0" borderId="0" xfId="0" applyFont="1"/>
    <xf numFmtId="0" fontId="5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vertical="center"/>
    </xf>
    <xf numFmtId="4" fontId="9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top" wrapText="1"/>
    </xf>
    <xf numFmtId="0" fontId="8" fillId="2" borderId="9" xfId="0" applyFont="1" applyFill="1" applyBorder="1" applyAlignment="1" applyProtection="1">
      <alignment vertical="center" wrapText="1"/>
    </xf>
    <xf numFmtId="0" fontId="7" fillId="2" borderId="1" xfId="0" quotePrefix="1" applyFont="1" applyFill="1" applyBorder="1" applyAlignment="1">
      <alignment vertical="center" wrapText="1"/>
    </xf>
    <xf numFmtId="0" fontId="5" fillId="2" borderId="0" xfId="0" applyFont="1" applyFill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top" wrapText="1"/>
    </xf>
    <xf numFmtId="0" fontId="7" fillId="3" borderId="1" xfId="0" quotePrefix="1" applyFont="1" applyFill="1" applyBorder="1" applyAlignment="1">
      <alignment vertical="center" wrapText="1"/>
    </xf>
    <xf numFmtId="0" fontId="5" fillId="3" borderId="0" xfId="0" applyFont="1" applyFill="1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top" wrapText="1"/>
    </xf>
    <xf numFmtId="0" fontId="7" fillId="4" borderId="1" xfId="0" quotePrefix="1" applyFont="1" applyFill="1" applyBorder="1" applyAlignment="1">
      <alignment vertical="center" wrapText="1"/>
    </xf>
    <xf numFmtId="0" fontId="5" fillId="4" borderId="0" xfId="0" applyFont="1" applyFill="1"/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top" wrapText="1"/>
    </xf>
    <xf numFmtId="0" fontId="7" fillId="5" borderId="1" xfId="0" quotePrefix="1" applyFont="1" applyFill="1" applyBorder="1" applyAlignment="1">
      <alignment vertical="center" wrapText="1"/>
    </xf>
    <xf numFmtId="0" fontId="5" fillId="5" borderId="0" xfId="0" applyFont="1" applyFill="1"/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top" wrapText="1"/>
    </xf>
    <xf numFmtId="0" fontId="7" fillId="6" borderId="1" xfId="0" quotePrefix="1" applyFont="1" applyFill="1" applyBorder="1" applyAlignment="1">
      <alignment vertical="center" wrapText="1"/>
    </xf>
    <xf numFmtId="0" fontId="5" fillId="6" borderId="0" xfId="0" applyFont="1" applyFill="1"/>
    <xf numFmtId="0" fontId="5" fillId="7" borderId="0" xfId="0" applyFont="1" applyFill="1"/>
    <xf numFmtId="4" fontId="10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center" vertical="center"/>
    </xf>
    <xf numFmtId="4" fontId="5" fillId="0" borderId="0" xfId="0" applyNumberFormat="1" applyFont="1"/>
    <xf numFmtId="4" fontId="5" fillId="0" borderId="8" xfId="0" applyNumberFormat="1" applyFont="1" applyBorder="1"/>
    <xf numFmtId="0" fontId="8" fillId="3" borderId="10" xfId="0" applyFont="1" applyFill="1" applyBorder="1" applyAlignment="1" applyProtection="1">
      <alignment vertical="center" wrapText="1"/>
    </xf>
    <xf numFmtId="0" fontId="8" fillId="5" borderId="10" xfId="0" applyFont="1" applyFill="1" applyBorder="1" applyAlignment="1" applyProtection="1">
      <alignment vertical="center" wrapText="1"/>
    </xf>
    <xf numFmtId="0" fontId="8" fillId="4" borderId="10" xfId="0" applyFont="1" applyFill="1" applyBorder="1" applyAlignment="1" applyProtection="1">
      <alignment vertical="center" wrapText="1"/>
    </xf>
    <xf numFmtId="0" fontId="8" fillId="6" borderId="10" xfId="0" applyFont="1" applyFill="1" applyBorder="1" applyAlignment="1" applyProtection="1">
      <alignment vertical="center" wrapText="1"/>
    </xf>
    <xf numFmtId="0" fontId="8" fillId="5" borderId="9" xfId="0" applyFont="1" applyFill="1" applyBorder="1" applyAlignment="1" applyProtection="1">
      <alignment vertical="center" wrapText="1"/>
    </xf>
    <xf numFmtId="0" fontId="5" fillId="6" borderId="1" xfId="0" applyFont="1" applyFill="1" applyBorder="1" applyAlignment="1">
      <alignment wrapText="1"/>
    </xf>
    <xf numFmtId="2" fontId="5" fillId="5" borderId="1" xfId="0" applyNumberFormat="1" applyFont="1" applyFill="1" applyBorder="1" applyAlignment="1">
      <alignment horizontal="center" vertical="center"/>
    </xf>
    <xf numFmtId="0" fontId="8" fillId="5" borderId="11" xfId="0" applyFont="1" applyFill="1" applyBorder="1" applyAlignment="1" applyProtection="1">
      <alignment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vertical="top" wrapText="1"/>
    </xf>
    <xf numFmtId="2" fontId="5" fillId="8" borderId="1" xfId="0" applyNumberFormat="1" applyFont="1" applyFill="1" applyBorder="1" applyAlignment="1">
      <alignment horizontal="center" vertical="center"/>
    </xf>
    <xf numFmtId="0" fontId="8" fillId="8" borderId="10" xfId="0" applyFont="1" applyFill="1" applyBorder="1" applyAlignment="1" applyProtection="1">
      <alignment vertical="center" wrapText="1"/>
    </xf>
    <xf numFmtId="4" fontId="7" fillId="8" borderId="1" xfId="0" applyNumberFormat="1" applyFont="1" applyFill="1" applyBorder="1" applyAlignment="1">
      <alignment horizontal="center" vertical="center"/>
    </xf>
    <xf numFmtId="0" fontId="7" fillId="8" borderId="1" xfId="0" quotePrefix="1" applyFont="1" applyFill="1" applyBorder="1" applyAlignment="1">
      <alignment vertical="center" wrapText="1"/>
    </xf>
    <xf numFmtId="49" fontId="8" fillId="4" borderId="1" xfId="3" applyNumberFormat="1" applyFont="1" applyFill="1" applyBorder="1"/>
    <xf numFmtId="0" fontId="5" fillId="2" borderId="9" xfId="1" applyFont="1" applyFill="1" applyBorder="1" applyAlignment="1" applyProtection="1">
      <alignment vertical="center" wrapText="1"/>
    </xf>
    <xf numFmtId="0" fontId="8" fillId="2" borderId="10" xfId="0" applyFont="1" applyFill="1" applyBorder="1" applyAlignment="1" applyProtection="1">
      <alignment vertical="center" wrapText="1"/>
    </xf>
    <xf numFmtId="0" fontId="5" fillId="8" borderId="10" xfId="2" applyFont="1" applyFill="1" applyBorder="1" applyAlignment="1" applyProtection="1">
      <alignment vertical="center" wrapText="1"/>
    </xf>
    <xf numFmtId="0" fontId="5" fillId="8" borderId="0" xfId="0" applyFont="1" applyFill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abSelected="1" view="pageBreakPreview" zoomScale="75" zoomScaleNormal="75" zoomScaleSheetLayoutView="75" workbookViewId="0">
      <selection activeCell="E38" sqref="E38"/>
    </sheetView>
  </sheetViews>
  <sheetFormatPr defaultRowHeight="25.5" customHeight="1" x14ac:dyDescent="0.25"/>
  <cols>
    <col min="1" max="1" width="12.7109375" style="7" customWidth="1"/>
    <col min="2" max="2" width="22.28515625" style="1" customWidth="1"/>
    <col min="3" max="3" width="11.42578125" style="1" customWidth="1"/>
    <col min="4" max="4" width="15.7109375" style="38" customWidth="1"/>
    <col min="5" max="5" width="58.7109375" style="1" customWidth="1"/>
    <col min="6" max="6" width="16.7109375" style="38" customWidth="1"/>
    <col min="7" max="7" width="15.5703125" style="1" customWidth="1"/>
    <col min="8" max="8" width="11.5703125" style="1" customWidth="1"/>
    <col min="9" max="9" width="62.140625" style="1" customWidth="1"/>
    <col min="10" max="10" width="14.5703125" style="38" customWidth="1"/>
    <col min="11" max="11" width="17.7109375" style="1" customWidth="1"/>
    <col min="12" max="16384" width="9.140625" style="1"/>
  </cols>
  <sheetData>
    <row r="1" spans="1:20" ht="25.5" customHeigh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2"/>
      <c r="M1" s="2"/>
      <c r="N1" s="2"/>
      <c r="O1" s="2"/>
      <c r="P1" s="2"/>
      <c r="Q1" s="2"/>
      <c r="R1" s="2"/>
      <c r="S1" s="2"/>
      <c r="T1" s="2"/>
    </row>
    <row r="2" spans="1:20" ht="25.5" customHeight="1" x14ac:dyDescent="0.3">
      <c r="A2" s="68" t="s">
        <v>27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2"/>
      <c r="M2" s="2"/>
      <c r="N2" s="2"/>
      <c r="O2" s="2"/>
      <c r="P2" s="2"/>
      <c r="Q2" s="2"/>
      <c r="R2" s="2"/>
      <c r="S2" s="2"/>
      <c r="T2" s="2"/>
    </row>
    <row r="3" spans="1:20" ht="39.75" customHeight="1" x14ac:dyDescent="0.25">
      <c r="A3" s="69" t="s">
        <v>1</v>
      </c>
      <c r="B3" s="65" t="s">
        <v>2</v>
      </c>
      <c r="C3" s="71" t="s">
        <v>3</v>
      </c>
      <c r="D3" s="72"/>
      <c r="E3" s="73"/>
      <c r="F3" s="74" t="s">
        <v>6</v>
      </c>
      <c r="G3" s="71" t="s">
        <v>7</v>
      </c>
      <c r="H3" s="72"/>
      <c r="I3" s="72"/>
      <c r="J3" s="73"/>
      <c r="K3" s="65" t="s">
        <v>11</v>
      </c>
    </row>
    <row r="4" spans="1:20" ht="95.25" customHeight="1" x14ac:dyDescent="0.25">
      <c r="A4" s="70"/>
      <c r="B4" s="66"/>
      <c r="C4" s="3" t="s">
        <v>4</v>
      </c>
      <c r="D4" s="32" t="s">
        <v>14</v>
      </c>
      <c r="E4" s="3" t="s">
        <v>5</v>
      </c>
      <c r="F4" s="75"/>
      <c r="G4" s="3" t="s">
        <v>15</v>
      </c>
      <c r="H4" s="3" t="s">
        <v>8</v>
      </c>
      <c r="I4" s="3" t="s">
        <v>9</v>
      </c>
      <c r="J4" s="32" t="s">
        <v>10</v>
      </c>
      <c r="K4" s="66"/>
    </row>
    <row r="5" spans="1:20" s="13" customFormat="1" ht="31.5" x14ac:dyDescent="0.25">
      <c r="A5" s="9" t="s">
        <v>22</v>
      </c>
      <c r="B5" s="10" t="s">
        <v>12</v>
      </c>
      <c r="C5" s="9" t="s">
        <v>13</v>
      </c>
      <c r="D5" s="48">
        <f>(5000)/1000</f>
        <v>5</v>
      </c>
      <c r="E5" s="11" t="s">
        <v>28</v>
      </c>
      <c r="F5" s="33">
        <f t="shared" ref="F5:F6" si="0">SUM(D5)</f>
        <v>5</v>
      </c>
      <c r="G5" s="9" t="s">
        <v>13</v>
      </c>
      <c r="H5" s="9" t="s">
        <v>13</v>
      </c>
      <c r="I5" s="12" t="str">
        <f t="shared" ref="I5" si="1">E5</f>
        <v>Послуга з поточного ремонту машини пральної Ariston (заводський номер №801741012808, інв №10480274)</v>
      </c>
      <c r="J5" s="33">
        <f t="shared" ref="J5" si="2">F5</f>
        <v>5</v>
      </c>
      <c r="K5" s="9" t="s">
        <v>13</v>
      </c>
    </row>
    <row r="6" spans="1:20" s="13" customFormat="1" ht="47.25" customHeight="1" x14ac:dyDescent="0.25">
      <c r="A6" s="9" t="s">
        <v>22</v>
      </c>
      <c r="B6" s="10" t="s">
        <v>12</v>
      </c>
      <c r="C6" s="9" t="s">
        <v>13</v>
      </c>
      <c r="D6" s="48">
        <v>31.6</v>
      </c>
      <c r="E6" s="11" t="s">
        <v>29</v>
      </c>
      <c r="F6" s="33">
        <f t="shared" si="0"/>
        <v>31.6</v>
      </c>
      <c r="G6" s="9" t="s">
        <v>13</v>
      </c>
      <c r="H6" s="9" t="s">
        <v>13</v>
      </c>
      <c r="I6" s="12" t="str">
        <f t="shared" ref="I6" si="3">E6</f>
        <v>Послуга з поточного ремонту Джерела безперебойного живлення (ДЖБ) марки LUXEON (модель UPS-3000ZX, інв №10410014) з заміною акумуляторних батарей</v>
      </c>
      <c r="J6" s="33">
        <f t="shared" ref="J6" si="4">F6</f>
        <v>31.6</v>
      </c>
      <c r="K6" s="9" t="s">
        <v>13</v>
      </c>
    </row>
    <row r="7" spans="1:20" s="13" customFormat="1" ht="31.5" x14ac:dyDescent="0.25">
      <c r="A7" s="9" t="s">
        <v>22</v>
      </c>
      <c r="B7" s="10" t="s">
        <v>12</v>
      </c>
      <c r="C7" s="9" t="s">
        <v>13</v>
      </c>
      <c r="D7" s="48">
        <f>(7040)/1000</f>
        <v>7.04</v>
      </c>
      <c r="E7" s="59" t="s">
        <v>32</v>
      </c>
      <c r="F7" s="33">
        <f t="shared" ref="F7:F10" si="5">SUM(D7)</f>
        <v>7.04</v>
      </c>
      <c r="G7" s="9" t="s">
        <v>13</v>
      </c>
      <c r="H7" s="9" t="s">
        <v>13</v>
      </c>
      <c r="I7" s="12" t="str">
        <f t="shared" ref="I7:I10" si="6">E7</f>
        <v>Електроконфорка 417х295/30</v>
      </c>
      <c r="J7" s="33">
        <f t="shared" ref="J7:J10" si="7">F7</f>
        <v>7.04</v>
      </c>
      <c r="K7" s="9" t="s">
        <v>13</v>
      </c>
    </row>
    <row r="8" spans="1:20" s="13" customFormat="1" ht="31.5" x14ac:dyDescent="0.25">
      <c r="A8" s="9" t="s">
        <v>22</v>
      </c>
      <c r="B8" s="10" t="s">
        <v>12</v>
      </c>
      <c r="C8" s="9" t="s">
        <v>13</v>
      </c>
      <c r="D8" s="48">
        <f>(9506.88)/1000</f>
        <v>9.5068799999999989</v>
      </c>
      <c r="E8" s="60" t="s">
        <v>33</v>
      </c>
      <c r="F8" s="33">
        <f t="shared" si="5"/>
        <v>9.5068799999999989</v>
      </c>
      <c r="G8" s="9" t="s">
        <v>13</v>
      </c>
      <c r="H8" s="9" t="s">
        <v>13</v>
      </c>
      <c r="I8" s="12" t="str">
        <f t="shared" si="6"/>
        <v>Реагент Lysercell WDF</v>
      </c>
      <c r="J8" s="33">
        <f t="shared" si="7"/>
        <v>9.5068799999999989</v>
      </c>
      <c r="K8" s="9" t="s">
        <v>13</v>
      </c>
    </row>
    <row r="9" spans="1:20" s="13" customFormat="1" ht="31.5" x14ac:dyDescent="0.25">
      <c r="A9" s="9" t="s">
        <v>22</v>
      </c>
      <c r="B9" s="10" t="s">
        <v>12</v>
      </c>
      <c r="C9" s="9" t="s">
        <v>13</v>
      </c>
      <c r="D9" s="48">
        <v>33.970399999999998</v>
      </c>
      <c r="E9" s="60" t="s">
        <v>34</v>
      </c>
      <c r="F9" s="33">
        <f t="shared" si="5"/>
        <v>33.970399999999998</v>
      </c>
      <c r="G9" s="9" t="s">
        <v>13</v>
      </c>
      <c r="H9" s="9" t="s">
        <v>13</v>
      </c>
      <c r="I9" s="12" t="str">
        <f t="shared" si="6"/>
        <v>Гадолерій розчин для ін'єкцій 604,72 мг/мл фл по 10 мл у флаконах по 1 флакону в пачці</v>
      </c>
      <c r="J9" s="33">
        <f t="shared" si="7"/>
        <v>33.970399999999998</v>
      </c>
      <c r="K9" s="9" t="s">
        <v>13</v>
      </c>
    </row>
    <row r="10" spans="1:20" s="13" customFormat="1" ht="31.5" x14ac:dyDescent="0.25">
      <c r="A10" s="9" t="s">
        <v>22</v>
      </c>
      <c r="B10" s="10" t="s">
        <v>12</v>
      </c>
      <c r="C10" s="9" t="s">
        <v>13</v>
      </c>
      <c r="D10" s="48">
        <v>2.2432500000000002</v>
      </c>
      <c r="E10" s="60" t="s">
        <v>35</v>
      </c>
      <c r="F10" s="33">
        <f t="shared" si="5"/>
        <v>2.2432500000000002</v>
      </c>
      <c r="G10" s="9" t="s">
        <v>13</v>
      </c>
      <c r="H10" s="9" t="s">
        <v>13</v>
      </c>
      <c r="I10" s="12" t="str">
        <f t="shared" si="6"/>
        <v>Ебрантил розчин д/ін. 5мг/мл по 5мл (25мг) в амп. №5</v>
      </c>
      <c r="J10" s="33">
        <f t="shared" si="7"/>
        <v>2.2432500000000002</v>
      </c>
      <c r="K10" s="9" t="s">
        <v>13</v>
      </c>
    </row>
    <row r="11" spans="1:20" s="17" customFormat="1" ht="31.5" x14ac:dyDescent="0.25">
      <c r="A11" s="14" t="s">
        <v>22</v>
      </c>
      <c r="B11" s="15" t="s">
        <v>60</v>
      </c>
      <c r="C11" s="14" t="s">
        <v>13</v>
      </c>
      <c r="D11" s="49">
        <f>(15326.45)/1000</f>
        <v>15.326450000000001</v>
      </c>
      <c r="E11" s="40" t="s">
        <v>43</v>
      </c>
      <c r="F11" s="34">
        <f t="shared" ref="F11" si="8">SUM(D11)</f>
        <v>15.326450000000001</v>
      </c>
      <c r="G11" s="14" t="s">
        <v>13</v>
      </c>
      <c r="H11" s="14" t="s">
        <v>13</v>
      </c>
      <c r="I11" s="16" t="str">
        <f t="shared" ref="I11" si="9">E11</f>
        <v>Резолют Інтегріті коронарна стент-система з покриттям зотаролімус</v>
      </c>
      <c r="J11" s="34">
        <f t="shared" ref="J11" si="10">F11</f>
        <v>15.326450000000001</v>
      </c>
      <c r="K11" s="14" t="s">
        <v>13</v>
      </c>
    </row>
    <row r="12" spans="1:20" s="25" customFormat="1" ht="31.5" x14ac:dyDescent="0.25">
      <c r="A12" s="22" t="s">
        <v>23</v>
      </c>
      <c r="B12" s="23" t="s">
        <v>12</v>
      </c>
      <c r="C12" s="22" t="s">
        <v>13</v>
      </c>
      <c r="D12" s="46">
        <f>(9506.88)/1000</f>
        <v>9.5068799999999989</v>
      </c>
      <c r="E12" s="44" t="s">
        <v>33</v>
      </c>
      <c r="F12" s="35">
        <f>SUM(D12)</f>
        <v>9.5068799999999989</v>
      </c>
      <c r="G12" s="22" t="s">
        <v>13</v>
      </c>
      <c r="H12" s="22" t="s">
        <v>13</v>
      </c>
      <c r="I12" s="24" t="str">
        <f t="shared" ref="I12:I16" si="11">E12</f>
        <v>Реагент Lysercell WDF</v>
      </c>
      <c r="J12" s="35">
        <f t="shared" ref="J12:J15" si="12">F12</f>
        <v>9.5068799999999989</v>
      </c>
      <c r="K12" s="22" t="s">
        <v>13</v>
      </c>
    </row>
    <row r="13" spans="1:20" s="25" customFormat="1" ht="31.5" x14ac:dyDescent="0.25">
      <c r="A13" s="22" t="s">
        <v>23</v>
      </c>
      <c r="B13" s="23" t="s">
        <v>12</v>
      </c>
      <c r="C13" s="22" t="s">
        <v>13</v>
      </c>
      <c r="D13" s="46">
        <f>(7755.04)/1000</f>
        <v>7.7550400000000002</v>
      </c>
      <c r="E13" s="41" t="s">
        <v>36</v>
      </c>
      <c r="F13" s="35">
        <f t="shared" ref="F13:F16" si="13">SUM(D13)</f>
        <v>7.7550400000000002</v>
      </c>
      <c r="G13" s="22" t="s">
        <v>13</v>
      </c>
      <c r="H13" s="22" t="s">
        <v>13</v>
      </c>
      <c r="I13" s="24" t="str">
        <f t="shared" si="11"/>
        <v>Реагент CELLPACK</v>
      </c>
      <c r="J13" s="35">
        <f t="shared" si="12"/>
        <v>7.7550400000000002</v>
      </c>
      <c r="K13" s="22" t="s">
        <v>13</v>
      </c>
    </row>
    <row r="14" spans="1:20" s="25" customFormat="1" ht="31.5" x14ac:dyDescent="0.25">
      <c r="A14" s="22" t="s">
        <v>23</v>
      </c>
      <c r="B14" s="23" t="s">
        <v>12</v>
      </c>
      <c r="C14" s="22" t="s">
        <v>13</v>
      </c>
      <c r="D14" s="46">
        <f>(2042)/1000</f>
        <v>2.0419999999999998</v>
      </c>
      <c r="E14" s="41" t="s">
        <v>37</v>
      </c>
      <c r="F14" s="35">
        <f t="shared" si="13"/>
        <v>2.0419999999999998</v>
      </c>
      <c r="G14" s="22" t="s">
        <v>13</v>
      </c>
      <c r="H14" s="22" t="s">
        <v>13</v>
      </c>
      <c r="I14" s="24" t="str">
        <f t="shared" si="11"/>
        <v>Тест на виявлення Тропоніну 25шт/уп</v>
      </c>
      <c r="J14" s="35">
        <f t="shared" si="12"/>
        <v>2.0419999999999998</v>
      </c>
      <c r="K14" s="22" t="s">
        <v>13</v>
      </c>
    </row>
    <row r="15" spans="1:20" s="25" customFormat="1" ht="31.5" x14ac:dyDescent="0.25">
      <c r="A15" s="22" t="s">
        <v>23</v>
      </c>
      <c r="B15" s="23" t="s">
        <v>12</v>
      </c>
      <c r="C15" s="22" t="s">
        <v>13</v>
      </c>
      <c r="D15" s="46">
        <f>(2850)/1000</f>
        <v>2.85</v>
      </c>
      <c r="E15" s="41" t="s">
        <v>38</v>
      </c>
      <c r="F15" s="35">
        <f t="shared" si="13"/>
        <v>2.85</v>
      </c>
      <c r="G15" s="22" t="s">
        <v>13</v>
      </c>
      <c r="H15" s="22" t="s">
        <v>13</v>
      </c>
      <c r="I15" s="24" t="str">
        <f t="shared" si="11"/>
        <v>Сечові смужки 10</v>
      </c>
      <c r="J15" s="35">
        <f t="shared" si="12"/>
        <v>2.85</v>
      </c>
      <c r="K15" s="22" t="s">
        <v>13</v>
      </c>
    </row>
    <row r="16" spans="1:20" s="25" customFormat="1" ht="47.25" x14ac:dyDescent="0.25">
      <c r="A16" s="22" t="s">
        <v>23</v>
      </c>
      <c r="B16" s="23" t="s">
        <v>12</v>
      </c>
      <c r="C16" s="22" t="s">
        <v>13</v>
      </c>
      <c r="D16" s="46">
        <f>(560)/1000</f>
        <v>0.56000000000000005</v>
      </c>
      <c r="E16" s="47" t="s">
        <v>25</v>
      </c>
      <c r="F16" s="35">
        <f t="shared" si="13"/>
        <v>0.56000000000000005</v>
      </c>
      <c r="G16" s="22" t="s">
        <v>13</v>
      </c>
      <c r="H16" s="22" t="s">
        <v>13</v>
      </c>
      <c r="I16" s="24" t="str">
        <f t="shared" si="11"/>
        <v>Послуга централізованого спостереження за станом тривожної сигналізації та реагуванняГШР ПЦО на відповідні сигнали на об'єкти</v>
      </c>
      <c r="J16" s="35">
        <f t="shared" ref="J16" si="14">F16</f>
        <v>0.56000000000000005</v>
      </c>
      <c r="K16" s="22" t="s">
        <v>13</v>
      </c>
    </row>
    <row r="17" spans="1:11" s="21" customFormat="1" ht="63" x14ac:dyDescent="0.25">
      <c r="A17" s="18" t="s">
        <v>23</v>
      </c>
      <c r="B17" s="19" t="s">
        <v>19</v>
      </c>
      <c r="C17" s="18" t="s">
        <v>13</v>
      </c>
      <c r="D17" s="50">
        <f>(101100)/1000</f>
        <v>101.1</v>
      </c>
      <c r="E17" s="42" t="s">
        <v>44</v>
      </c>
      <c r="F17" s="36">
        <f>SUM(D17)</f>
        <v>101.1</v>
      </c>
      <c r="G17" s="18" t="s">
        <v>13</v>
      </c>
      <c r="H17" s="18" t="s">
        <v>13</v>
      </c>
      <c r="I17" s="20" t="str">
        <f>E17</f>
        <v>Тотальний ендопротез кульшового суглобу безцементної фіксації у комплекті з ніжкою Аллокласік, металевою голівкою, крослінкованим вкладишем та чашкою Трілоджі Ай Ті</v>
      </c>
      <c r="J17" s="36">
        <f>F17</f>
        <v>101.1</v>
      </c>
      <c r="K17" s="18" t="s">
        <v>13</v>
      </c>
    </row>
    <row r="18" spans="1:11" s="21" customFormat="1" ht="31.5" x14ac:dyDescent="0.25">
      <c r="A18" s="18" t="s">
        <v>23</v>
      </c>
      <c r="B18" s="19" t="s">
        <v>19</v>
      </c>
      <c r="C18" s="18" t="s">
        <v>13</v>
      </c>
      <c r="D18" s="50">
        <f>(2007.2)/1000</f>
        <v>2.0072000000000001</v>
      </c>
      <c r="E18" s="42" t="s">
        <v>47</v>
      </c>
      <c r="F18" s="36">
        <f t="shared" ref="F18:F32" si="15">SUM(D18)</f>
        <v>2.0072000000000001</v>
      </c>
      <c r="G18" s="18" t="s">
        <v>13</v>
      </c>
      <c r="H18" s="18" t="s">
        <v>13</v>
      </c>
      <c r="I18" s="20" t="str">
        <f t="shared" ref="I18:I30" si="16">E18</f>
        <v>Гайки/фіксатори</v>
      </c>
      <c r="J18" s="36">
        <f t="shared" ref="J18:J32" si="17">F18</f>
        <v>2.0072000000000001</v>
      </c>
      <c r="K18" s="18" t="s">
        <v>13</v>
      </c>
    </row>
    <row r="19" spans="1:11" s="21" customFormat="1" ht="31.5" x14ac:dyDescent="0.25">
      <c r="A19" s="18" t="s">
        <v>23</v>
      </c>
      <c r="B19" s="19" t="s">
        <v>19</v>
      </c>
      <c r="C19" s="18" t="s">
        <v>13</v>
      </c>
      <c r="D19" s="50">
        <f>(7111.6)/1000</f>
        <v>7.1116000000000001</v>
      </c>
      <c r="E19" s="42" t="s">
        <v>46</v>
      </c>
      <c r="F19" s="36">
        <f t="shared" si="15"/>
        <v>7.1116000000000001</v>
      </c>
      <c r="G19" s="18" t="s">
        <v>13</v>
      </c>
      <c r="H19" s="18" t="s">
        <v>13</v>
      </c>
      <c r="I19" s="20" t="str">
        <f t="shared" si="16"/>
        <v>Гвинти транспедикулярні</v>
      </c>
      <c r="J19" s="36">
        <f t="shared" si="17"/>
        <v>7.1116000000000001</v>
      </c>
      <c r="K19" s="18" t="s">
        <v>13</v>
      </c>
    </row>
    <row r="20" spans="1:11" s="21" customFormat="1" ht="31.5" x14ac:dyDescent="0.25">
      <c r="A20" s="18" t="s">
        <v>23</v>
      </c>
      <c r="B20" s="19" t="s">
        <v>19</v>
      </c>
      <c r="C20" s="18" t="s">
        <v>13</v>
      </c>
      <c r="D20" s="50">
        <f>(2100)/1000</f>
        <v>2.1</v>
      </c>
      <c r="E20" s="42" t="s">
        <v>45</v>
      </c>
      <c r="F20" s="36">
        <f t="shared" si="15"/>
        <v>2.1</v>
      </c>
      <c r="G20" s="18" t="s">
        <v>13</v>
      </c>
      <c r="H20" s="18" t="s">
        <v>13</v>
      </c>
      <c r="I20" s="20" t="str">
        <f t="shared" si="16"/>
        <v>Стрижні (титанові)</v>
      </c>
      <c r="J20" s="36">
        <f t="shared" si="17"/>
        <v>2.1</v>
      </c>
      <c r="K20" s="18" t="s">
        <v>13</v>
      </c>
    </row>
    <row r="21" spans="1:11" s="21" customFormat="1" ht="47.25" x14ac:dyDescent="0.25">
      <c r="A21" s="18" t="s">
        <v>23</v>
      </c>
      <c r="B21" s="19" t="s">
        <v>19</v>
      </c>
      <c r="C21" s="18" t="s">
        <v>13</v>
      </c>
      <c r="D21" s="50">
        <f>(36400)/1000</f>
        <v>36.4</v>
      </c>
      <c r="E21" s="42" t="s">
        <v>49</v>
      </c>
      <c r="F21" s="36">
        <f t="shared" si="15"/>
        <v>36.4</v>
      </c>
      <c r="G21" s="18" t="s">
        <v>13</v>
      </c>
      <c r="H21" s="18" t="s">
        <v>13</v>
      </c>
      <c r="I21" s="20" t="str">
        <f t="shared" si="16"/>
        <v>Набір імплантів для остеосинтезу перелому ліктьової кістки: пластина, титан; блокуючий гвинт, шестигранник, титан; кортикальний гвинт, титан</v>
      </c>
      <c r="J21" s="36">
        <f t="shared" si="17"/>
        <v>36.4</v>
      </c>
      <c r="K21" s="18" t="s">
        <v>13</v>
      </c>
    </row>
    <row r="22" spans="1:11" s="21" customFormat="1" ht="31.5" x14ac:dyDescent="0.25">
      <c r="A22" s="18" t="s">
        <v>23</v>
      </c>
      <c r="B22" s="19" t="s">
        <v>19</v>
      </c>
      <c r="C22" s="18" t="s">
        <v>13</v>
      </c>
      <c r="D22" s="50">
        <f>(1000)/1000</f>
        <v>1</v>
      </c>
      <c r="E22" s="42" t="s">
        <v>51</v>
      </c>
      <c r="F22" s="36">
        <f t="shared" si="15"/>
        <v>1</v>
      </c>
      <c r="G22" s="18" t="s">
        <v>13</v>
      </c>
      <c r="H22" s="18" t="s">
        <v>13</v>
      </c>
      <c r="I22" s="20" t="str">
        <f t="shared" si="16"/>
        <v>Сухофрукти</v>
      </c>
      <c r="J22" s="36">
        <f t="shared" si="17"/>
        <v>1</v>
      </c>
      <c r="K22" s="18" t="s">
        <v>13</v>
      </c>
    </row>
    <row r="23" spans="1:11" s="21" customFormat="1" ht="31.5" x14ac:dyDescent="0.25">
      <c r="A23" s="18" t="s">
        <v>23</v>
      </c>
      <c r="B23" s="19" t="s">
        <v>19</v>
      </c>
      <c r="C23" s="18" t="s">
        <v>13</v>
      </c>
      <c r="D23" s="50">
        <f>(75)/1000</f>
        <v>7.4999999999999997E-2</v>
      </c>
      <c r="E23" s="42" t="s">
        <v>52</v>
      </c>
      <c r="F23" s="36">
        <f t="shared" si="15"/>
        <v>7.4999999999999997E-2</v>
      </c>
      <c r="G23" s="18" t="s">
        <v>13</v>
      </c>
      <c r="H23" s="18" t="s">
        <v>13</v>
      </c>
      <c r="I23" s="20" t="str">
        <f t="shared" si="16"/>
        <v>Сіль</v>
      </c>
      <c r="J23" s="36">
        <f t="shared" si="17"/>
        <v>7.4999999999999997E-2</v>
      </c>
      <c r="K23" s="18" t="s">
        <v>13</v>
      </c>
    </row>
    <row r="24" spans="1:11" s="21" customFormat="1" ht="31.5" x14ac:dyDescent="0.25">
      <c r="A24" s="18" t="s">
        <v>23</v>
      </c>
      <c r="B24" s="19" t="s">
        <v>19</v>
      </c>
      <c r="C24" s="18" t="s">
        <v>13</v>
      </c>
      <c r="D24" s="50">
        <f>(600)/1000</f>
        <v>0.6</v>
      </c>
      <c r="E24" s="42" t="s">
        <v>53</v>
      </c>
      <c r="F24" s="36">
        <f>SUM(D24)</f>
        <v>0.6</v>
      </c>
      <c r="G24" s="18" t="s">
        <v>13</v>
      </c>
      <c r="H24" s="18" t="s">
        <v>13</v>
      </c>
      <c r="I24" s="20" t="str">
        <f>E24</f>
        <v>Сік фруктовий</v>
      </c>
      <c r="J24" s="36">
        <f>F24</f>
        <v>0.6</v>
      </c>
      <c r="K24" s="18" t="s">
        <v>13</v>
      </c>
    </row>
    <row r="25" spans="1:11" s="21" customFormat="1" ht="31.5" x14ac:dyDescent="0.25">
      <c r="A25" s="18" t="s">
        <v>23</v>
      </c>
      <c r="B25" s="19" t="s">
        <v>19</v>
      </c>
      <c r="C25" s="18" t="s">
        <v>13</v>
      </c>
      <c r="D25" s="50">
        <f>(30)/1000</f>
        <v>0.03</v>
      </c>
      <c r="E25" s="58" t="s">
        <v>54</v>
      </c>
      <c r="F25" s="36">
        <f t="shared" ref="F25:F29" si="18">SUM(D25)</f>
        <v>0.03</v>
      </c>
      <c r="G25" s="18" t="s">
        <v>13</v>
      </c>
      <c r="H25" s="18" t="s">
        <v>13</v>
      </c>
      <c r="I25" s="20" t="str">
        <f t="shared" ref="I25:I29" si="19">E25</f>
        <v>Дріжджі хлібопекарські пресовані ДСТУ4812:2007</v>
      </c>
      <c r="J25" s="36">
        <f t="shared" ref="J25:J29" si="20">F25</f>
        <v>0.03</v>
      </c>
      <c r="K25" s="18" t="s">
        <v>13</v>
      </c>
    </row>
    <row r="26" spans="1:11" s="21" customFormat="1" ht="31.5" x14ac:dyDescent="0.25">
      <c r="A26" s="18" t="s">
        <v>23</v>
      </c>
      <c r="B26" s="19" t="s">
        <v>19</v>
      </c>
      <c r="C26" s="18" t="s">
        <v>13</v>
      </c>
      <c r="D26" s="50">
        <f>(1575)/1000</f>
        <v>1.575</v>
      </c>
      <c r="E26" s="58" t="s">
        <v>55</v>
      </c>
      <c r="F26" s="36">
        <f t="shared" si="18"/>
        <v>1.575</v>
      </c>
      <c r="G26" s="18" t="s">
        <v>13</v>
      </c>
      <c r="H26" s="18" t="s">
        <v>13</v>
      </c>
      <c r="I26" s="20" t="str">
        <f t="shared" si="19"/>
        <v>Суміш сухофруктів,ДСТУ 8494</v>
      </c>
      <c r="J26" s="36">
        <f t="shared" si="20"/>
        <v>1.575</v>
      </c>
      <c r="K26" s="18" t="s">
        <v>13</v>
      </c>
    </row>
    <row r="27" spans="1:11" s="21" customFormat="1" ht="31.5" x14ac:dyDescent="0.25">
      <c r="A27" s="18" t="s">
        <v>23</v>
      </c>
      <c r="B27" s="19" t="s">
        <v>19</v>
      </c>
      <c r="C27" s="18" t="s">
        <v>13</v>
      </c>
      <c r="D27" s="50">
        <f>(900)/1000</f>
        <v>0.9</v>
      </c>
      <c r="E27" s="58" t="s">
        <v>53</v>
      </c>
      <c r="F27" s="36">
        <f t="shared" si="18"/>
        <v>0.9</v>
      </c>
      <c r="G27" s="18" t="s">
        <v>13</v>
      </c>
      <c r="H27" s="18" t="s">
        <v>13</v>
      </c>
      <c r="I27" s="20" t="str">
        <f t="shared" si="19"/>
        <v>Сік фруктовий</v>
      </c>
      <c r="J27" s="36">
        <f t="shared" si="20"/>
        <v>0.9</v>
      </c>
      <c r="K27" s="18" t="s">
        <v>13</v>
      </c>
    </row>
    <row r="28" spans="1:11" s="21" customFormat="1" ht="31.5" x14ac:dyDescent="0.25">
      <c r="A28" s="18" t="s">
        <v>23</v>
      </c>
      <c r="B28" s="19" t="s">
        <v>19</v>
      </c>
      <c r="C28" s="18" t="s">
        <v>13</v>
      </c>
      <c r="D28" s="50">
        <f>(500)/1000</f>
        <v>0.5</v>
      </c>
      <c r="E28" s="58" t="s">
        <v>56</v>
      </c>
      <c r="F28" s="36">
        <f t="shared" si="18"/>
        <v>0.5</v>
      </c>
      <c r="G28" s="18" t="s">
        <v>13</v>
      </c>
      <c r="H28" s="18" t="s">
        <v>13</v>
      </c>
      <c r="I28" s="20" t="str">
        <f t="shared" si="19"/>
        <v>Капуста білоголова свіжа,пізньостигла, першого товарного сорту,ДСТУ 7033</v>
      </c>
      <c r="J28" s="36">
        <f t="shared" si="20"/>
        <v>0.5</v>
      </c>
      <c r="K28" s="18" t="s">
        <v>13</v>
      </c>
    </row>
    <row r="29" spans="1:11" s="21" customFormat="1" ht="31.5" x14ac:dyDescent="0.25">
      <c r="A29" s="18" t="s">
        <v>23</v>
      </c>
      <c r="B29" s="19" t="s">
        <v>19</v>
      </c>
      <c r="C29" s="18" t="s">
        <v>13</v>
      </c>
      <c r="D29" s="50">
        <f>(12983.04)/1000</f>
        <v>12.983040000000001</v>
      </c>
      <c r="E29" s="42" t="s">
        <v>58</v>
      </c>
      <c r="F29" s="36">
        <f t="shared" si="18"/>
        <v>12.983040000000001</v>
      </c>
      <c r="G29" s="18" t="s">
        <v>13</v>
      </c>
      <c r="H29" s="18" t="s">
        <v>13</v>
      </c>
      <c r="I29" s="20" t="str">
        <f t="shared" si="19"/>
        <v>Сервер Dell R720, 2*1 Gb+2*10 Gb, 2*E5-2650v2, 16*4GB, H710, 4TB, корз, 2*750W</v>
      </c>
      <c r="J29" s="36">
        <f t="shared" si="20"/>
        <v>12.983040000000001</v>
      </c>
      <c r="K29" s="18" t="s">
        <v>13</v>
      </c>
    </row>
    <row r="30" spans="1:11" s="21" customFormat="1" ht="47.25" customHeight="1" x14ac:dyDescent="0.25">
      <c r="A30" s="18" t="s">
        <v>23</v>
      </c>
      <c r="B30" s="19" t="s">
        <v>19</v>
      </c>
      <c r="C30" s="18" t="s">
        <v>13</v>
      </c>
      <c r="D30" s="50">
        <f>(38907)/1000</f>
        <v>38.906999999999996</v>
      </c>
      <c r="E30" s="42" t="s">
        <v>59</v>
      </c>
      <c r="F30" s="36">
        <f t="shared" si="15"/>
        <v>38.906999999999996</v>
      </c>
      <c r="G30" s="18" t="s">
        <v>13</v>
      </c>
      <c r="H30" s="18" t="s">
        <v>13</v>
      </c>
      <c r="I30" s="20" t="str">
        <f t="shared" si="16"/>
        <v>Відсмоктувач медичний "БІОМЕД" модель 7Е-А</v>
      </c>
      <c r="J30" s="36">
        <f t="shared" si="17"/>
        <v>38.906999999999996</v>
      </c>
      <c r="K30" s="18" t="s">
        <v>13</v>
      </c>
    </row>
    <row r="31" spans="1:11" s="29" customFormat="1" ht="47.25" customHeight="1" x14ac:dyDescent="0.25">
      <c r="A31" s="26" t="s">
        <v>24</v>
      </c>
      <c r="B31" s="27" t="s">
        <v>12</v>
      </c>
      <c r="C31" s="26" t="s">
        <v>13</v>
      </c>
      <c r="D31" s="51">
        <f>(5007.6)/1000</f>
        <v>5.0076000000000001</v>
      </c>
      <c r="E31" s="45" t="s">
        <v>39</v>
      </c>
      <c r="F31" s="37">
        <f t="shared" si="15"/>
        <v>5.0076000000000001</v>
      </c>
      <c r="G31" s="26" t="s">
        <v>13</v>
      </c>
      <c r="H31" s="26" t="s">
        <v>13</v>
      </c>
      <c r="I31" s="45" t="str">
        <f t="shared" ref="I31:I37" si="21">E31</f>
        <v>Набір реагентів для визначення тиреотропного гормону (ТТГ), 100 тестів</v>
      </c>
      <c r="J31" s="37">
        <f t="shared" ref="J31" si="22">F31</f>
        <v>5.0076000000000001</v>
      </c>
      <c r="K31" s="26" t="s">
        <v>13</v>
      </c>
    </row>
    <row r="32" spans="1:11" s="29" customFormat="1" ht="31.5" x14ac:dyDescent="0.25">
      <c r="A32" s="26" t="s">
        <v>24</v>
      </c>
      <c r="B32" s="27" t="s">
        <v>12</v>
      </c>
      <c r="C32" s="26" t="s">
        <v>13</v>
      </c>
      <c r="D32" s="51">
        <f>(13296)/1000</f>
        <v>13.295999999999999</v>
      </c>
      <c r="E32" s="45" t="s">
        <v>40</v>
      </c>
      <c r="F32" s="37">
        <f t="shared" si="15"/>
        <v>13.295999999999999</v>
      </c>
      <c r="G32" s="26" t="s">
        <v>13</v>
      </c>
      <c r="H32" s="26" t="s">
        <v>13</v>
      </c>
      <c r="I32" s="28" t="str">
        <f t="shared" si="21"/>
        <v>Дренаж типу `Редон`Fr18</v>
      </c>
      <c r="J32" s="37">
        <f t="shared" si="17"/>
        <v>13.295999999999999</v>
      </c>
      <c r="K32" s="26" t="s">
        <v>13</v>
      </c>
    </row>
    <row r="33" spans="1:11" s="29" customFormat="1" ht="31.5" x14ac:dyDescent="0.25">
      <c r="A33" s="26" t="s">
        <v>24</v>
      </c>
      <c r="B33" s="27" t="s">
        <v>12</v>
      </c>
      <c r="C33" s="26" t="s">
        <v>13</v>
      </c>
      <c r="D33" s="51">
        <f>(5905.66)/1000</f>
        <v>5.9056600000000001</v>
      </c>
      <c r="E33" s="45" t="s">
        <v>41</v>
      </c>
      <c r="F33" s="37">
        <f t="shared" ref="F33" si="23">SUM(D33)</f>
        <v>5.9056600000000001</v>
      </c>
      <c r="G33" s="26" t="s">
        <v>13</v>
      </c>
      <c r="H33" s="26" t="s">
        <v>13</v>
      </c>
      <c r="I33" s="28" t="str">
        <f t="shared" si="21"/>
        <v>Брилінта по 90мг.14 табл.у блістері</v>
      </c>
      <c r="J33" s="37">
        <f t="shared" ref="J33" si="24">F33</f>
        <v>5.9056600000000001</v>
      </c>
      <c r="K33" s="26" t="s">
        <v>13</v>
      </c>
    </row>
    <row r="34" spans="1:11" s="29" customFormat="1" ht="31.5" x14ac:dyDescent="0.25">
      <c r="A34" s="26" t="s">
        <v>24</v>
      </c>
      <c r="B34" s="27" t="s">
        <v>12</v>
      </c>
      <c r="C34" s="26" t="s">
        <v>13</v>
      </c>
      <c r="D34" s="51">
        <f>(24095)/1000</f>
        <v>24.094999999999999</v>
      </c>
      <c r="E34" s="45" t="s">
        <v>42</v>
      </c>
      <c r="F34" s="37">
        <f t="shared" ref="F34" si="25">SUM(D34)</f>
        <v>24.094999999999999</v>
      </c>
      <c r="G34" s="26" t="s">
        <v>13</v>
      </c>
      <c r="H34" s="26" t="s">
        <v>13</v>
      </c>
      <c r="I34" s="28" t="str">
        <f t="shared" si="21"/>
        <v>Анальгін розчин для ін`єкцій 500 мг/мл по 2 мл в ампулі, по 5 амп., по 2 контури</v>
      </c>
      <c r="J34" s="37">
        <f t="shared" ref="J34" si="26">F34</f>
        <v>24.094999999999999</v>
      </c>
      <c r="K34" s="26" t="s">
        <v>13</v>
      </c>
    </row>
    <row r="35" spans="1:11" s="29" customFormat="1" ht="47.25" x14ac:dyDescent="0.25">
      <c r="A35" s="26" t="s">
        <v>24</v>
      </c>
      <c r="B35" s="27" t="s">
        <v>12</v>
      </c>
      <c r="C35" s="26" t="s">
        <v>13</v>
      </c>
      <c r="D35" s="51">
        <f>(49478)/1000</f>
        <v>49.478000000000002</v>
      </c>
      <c r="E35" s="43" t="s">
        <v>31</v>
      </c>
      <c r="F35" s="37">
        <f>SUM(D35)</f>
        <v>49.478000000000002</v>
      </c>
      <c r="G35" s="26" t="s">
        <v>13</v>
      </c>
      <c r="H35" s="26" t="s">
        <v>13</v>
      </c>
      <c r="I35" s="28" t="str">
        <f t="shared" si="21"/>
        <v>Навчання на циклі тематичного удосконалення темою "Оцінювання повсякденного функціонування: практичні аспекти взаємодії експертних команд і лікуючих лікарів"</v>
      </c>
      <c r="J35" s="37">
        <f>F35</f>
        <v>49.478000000000002</v>
      </c>
      <c r="K35" s="26" t="s">
        <v>13</v>
      </c>
    </row>
    <row r="36" spans="1:11" s="29" customFormat="1" ht="47.25" x14ac:dyDescent="0.25">
      <c r="A36" s="26" t="s">
        <v>24</v>
      </c>
      <c r="B36" s="27" t="s">
        <v>12</v>
      </c>
      <c r="C36" s="26" t="s">
        <v>13</v>
      </c>
      <c r="D36" s="51">
        <f>(560)/1000</f>
        <v>0.56000000000000005</v>
      </c>
      <c r="E36" s="45" t="s">
        <v>30</v>
      </c>
      <c r="F36" s="37">
        <f>SUM(D36)</f>
        <v>0.56000000000000005</v>
      </c>
      <c r="G36" s="26" t="s">
        <v>13</v>
      </c>
      <c r="H36" s="26" t="s">
        <v>13</v>
      </c>
      <c r="I36" s="28" t="str">
        <f t="shared" si="21"/>
        <v>Надання послуг з централізованого спостереження об'єкту технічними засобами сигналізації, з реагуванням групи швидкого реагування за березень</v>
      </c>
      <c r="J36" s="37">
        <f t="shared" ref="J36" si="27">F36</f>
        <v>0.56000000000000005</v>
      </c>
      <c r="K36" s="26" t="s">
        <v>13</v>
      </c>
    </row>
    <row r="37" spans="1:11" s="62" customFormat="1" ht="47.25" x14ac:dyDescent="0.25">
      <c r="A37" s="52" t="s">
        <v>24</v>
      </c>
      <c r="B37" s="53" t="s">
        <v>26</v>
      </c>
      <c r="C37" s="52" t="s">
        <v>13</v>
      </c>
      <c r="D37" s="54">
        <f>(2422.46)/1000</f>
        <v>2.4224600000000001</v>
      </c>
      <c r="E37" s="61" t="s">
        <v>48</v>
      </c>
      <c r="F37" s="56">
        <f>SUM(D37)</f>
        <v>2.4224600000000001</v>
      </c>
      <c r="G37" s="52" t="s">
        <v>13</v>
      </c>
      <c r="H37" s="52" t="s">
        <v>13</v>
      </c>
      <c r="I37" s="57" t="str">
        <f t="shared" si="21"/>
        <v>DINJINSHR1VN Інсулін людський, РАПІД 100 МО/мл, 10 мл, флакон/64365</v>
      </c>
      <c r="J37" s="56">
        <f>F37</f>
        <v>2.4224600000000001</v>
      </c>
      <c r="K37" s="52" t="s">
        <v>13</v>
      </c>
    </row>
    <row r="38" spans="1:11" s="30" customFormat="1" ht="47.25" x14ac:dyDescent="0.25">
      <c r="A38" s="52" t="s">
        <v>24</v>
      </c>
      <c r="B38" s="53" t="s">
        <v>19</v>
      </c>
      <c r="C38" s="52" t="s">
        <v>13</v>
      </c>
      <c r="D38" s="54">
        <f>(18500)/1000</f>
        <v>18.5</v>
      </c>
      <c r="E38" s="55" t="s">
        <v>50</v>
      </c>
      <c r="F38" s="56">
        <f t="shared" ref="F38:F39" si="28">SUM(D38)</f>
        <v>18.5</v>
      </c>
      <c r="G38" s="52" t="s">
        <v>13</v>
      </c>
      <c r="H38" s="52" t="s">
        <v>13</v>
      </c>
      <c r="I38" s="57" t="str">
        <f t="shared" ref="I38:I39" si="29">E38</f>
        <v>Набір імплантів для остеосинтезу перелому ключиці: пластина, титан; блокуючий гвинт, шестигранник, титан; кортикальний гвинт, титан</v>
      </c>
      <c r="J38" s="56">
        <f t="shared" ref="J38:J39" si="30">F38</f>
        <v>18.5</v>
      </c>
      <c r="K38" s="52" t="s">
        <v>13</v>
      </c>
    </row>
    <row r="39" spans="1:11" s="30" customFormat="1" ht="31.5" x14ac:dyDescent="0.25">
      <c r="A39" s="52" t="s">
        <v>24</v>
      </c>
      <c r="B39" s="53" t="s">
        <v>19</v>
      </c>
      <c r="C39" s="52" t="s">
        <v>13</v>
      </c>
      <c r="D39" s="54">
        <f>(3210)/1000</f>
        <v>3.21</v>
      </c>
      <c r="E39" s="55" t="s">
        <v>57</v>
      </c>
      <c r="F39" s="56">
        <f t="shared" si="28"/>
        <v>3.21</v>
      </c>
      <c r="G39" s="52" t="s">
        <v>13</v>
      </c>
      <c r="H39" s="52" t="s">
        <v>13</v>
      </c>
      <c r="I39" s="57" t="str">
        <f t="shared" si="29"/>
        <v>Дизельне пальне</v>
      </c>
      <c r="J39" s="56">
        <f t="shared" si="30"/>
        <v>3.21</v>
      </c>
      <c r="K39" s="52" t="s">
        <v>13</v>
      </c>
    </row>
    <row r="40" spans="1:11" s="5" customFormat="1" ht="25.5" customHeight="1" x14ac:dyDescent="0.25">
      <c r="A40" s="4"/>
      <c r="B40" s="4"/>
      <c r="C40" s="8" t="s">
        <v>13</v>
      </c>
      <c r="D40" s="31">
        <f>SUM(D5:D39)</f>
        <v>455.16446000000002</v>
      </c>
      <c r="E40" s="4"/>
      <c r="F40" s="31">
        <f>SUM(F5:F39)</f>
        <v>455.16446000000002</v>
      </c>
      <c r="G40" s="4"/>
      <c r="H40" s="8" t="s">
        <v>13</v>
      </c>
      <c r="I40" s="4"/>
      <c r="J40" s="31">
        <f>SUM(J5:J39)</f>
        <v>455.16446000000002</v>
      </c>
      <c r="K40" s="4"/>
    </row>
    <row r="41" spans="1:11" ht="25.5" customHeight="1" x14ac:dyDescent="0.25">
      <c r="C41" s="6"/>
      <c r="D41" s="39"/>
      <c r="E41" s="38"/>
    </row>
    <row r="42" spans="1:11" ht="25.5" customHeight="1" x14ac:dyDescent="0.25">
      <c r="B42" s="1" t="s">
        <v>16</v>
      </c>
      <c r="C42" s="77"/>
      <c r="D42" s="77"/>
      <c r="E42" s="1" t="s">
        <v>21</v>
      </c>
    </row>
    <row r="43" spans="1:11" ht="25.5" customHeight="1" x14ac:dyDescent="0.25">
      <c r="C43" s="76" t="s">
        <v>17</v>
      </c>
      <c r="D43" s="76"/>
    </row>
    <row r="44" spans="1:11" ht="30.75" customHeight="1" x14ac:dyDescent="0.25">
      <c r="B44" s="63" t="s">
        <v>61</v>
      </c>
      <c r="C44" s="77"/>
      <c r="D44" s="77"/>
      <c r="E44" s="1" t="s">
        <v>62</v>
      </c>
    </row>
    <row r="45" spans="1:11" ht="25.5" customHeight="1" x14ac:dyDescent="0.25">
      <c r="C45" s="78" t="s">
        <v>17</v>
      </c>
      <c r="D45" s="78"/>
    </row>
    <row r="46" spans="1:11" ht="25.5" customHeight="1" x14ac:dyDescent="0.25">
      <c r="A46" s="64" t="s">
        <v>63</v>
      </c>
      <c r="B46" s="7" t="s">
        <v>18</v>
      </c>
      <c r="C46" s="77"/>
      <c r="D46" s="77"/>
      <c r="E46" s="1" t="s">
        <v>20</v>
      </c>
    </row>
    <row r="47" spans="1:11" ht="25.5" customHeight="1" x14ac:dyDescent="0.25">
      <c r="C47" s="76" t="s">
        <v>17</v>
      </c>
      <c r="D47" s="76"/>
    </row>
  </sheetData>
  <mergeCells count="14">
    <mergeCell ref="C47:D47"/>
    <mergeCell ref="C42:D42"/>
    <mergeCell ref="C43:D43"/>
    <mergeCell ref="C44:D44"/>
    <mergeCell ref="C45:D45"/>
    <mergeCell ref="C46:D46"/>
    <mergeCell ref="K3:K4"/>
    <mergeCell ref="A1:K1"/>
    <mergeCell ref="A2:K2"/>
    <mergeCell ref="A3:A4"/>
    <mergeCell ref="B3:B4"/>
    <mergeCell ref="C3:E3"/>
    <mergeCell ref="F3:F4"/>
    <mergeCell ref="G3:J3"/>
  </mergeCells>
  <phoneticPr fontId="2" type="noConversion"/>
  <pageMargins left="0.31496062992125984" right="0.11811023622047245" top="0.35433070866141736" bottom="0.15748031496062992" header="0.31496062992125984" footer="0.31496062992125984"/>
  <pageSetup paperSize="9"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І кв.2026</vt:lpstr>
      <vt:lpstr>'І кв.2026'!Область_печати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2025-04-15T12:04:51Z</cp:lastPrinted>
  <dcterms:created xsi:type="dcterms:W3CDTF">2006-09-16T00:00:00Z</dcterms:created>
  <dcterms:modified xsi:type="dcterms:W3CDTF">2026-04-06T11:17:52Z</dcterms:modified>
</cp:coreProperties>
</file>